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drawings/drawing2.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charts/chart1.xml" ContentType="application/vnd.openxmlformats-officedocument.drawingml.chart+xml"/>
  <Override PartName="/xl/worksheets/sheet4.xml" ContentType="application/vnd.openxmlformats-officedocument.spreadsheetml.worksheet+xml"/>
  <Override PartName="/xl/charts/chart2.xml" ContentType="application/vnd.openxmlformats-officedocument.drawingml.chart+xml"/>
  <Override PartName="/xl/theme/themeOverride1.xml" ContentType="application/vnd.openxmlformats-officedocument.themeOverrid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theme/themeOverride3.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xl/theme/themeOverride2.xml" ContentType="application/vnd.openxmlformats-officedocument.themeOverride+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870" windowWidth="13260" windowHeight="7275" activeTab="6"/>
  </bookViews>
  <sheets>
    <sheet name="Graphs" sheetId="8" r:id="rId1"/>
    <sheet name="Summary" sheetId="9" r:id="rId2"/>
    <sheet name="Annex 3 UN Grant" sheetId="2" r:id="rId3"/>
    <sheet name="Annex 4 RB 2016 2017" sheetId="7" r:id="rId4"/>
    <sheet name="Annex 5 Extra Budget by Prog" sheetId="3" r:id="rId5"/>
    <sheet name="Annex 6 2016 RB XB" sheetId="4" r:id="rId6"/>
    <sheet name="Annex 7 2017 RB XB" sheetId="5" r:id="rId7"/>
    <sheet name="Course Breakdwn" sheetId="11" r:id="rId8"/>
    <sheet name="Workings" sheetId="10" r:id="rId9"/>
  </sheets>
  <definedNames>
    <definedName name="_xlnm.Print_Area" localSheetId="2">'Annex 3 UN Grant'!$A$1:$F$17</definedName>
    <definedName name="_xlnm.Print_Area" localSheetId="4">'Annex 5 Extra Budget by Prog'!$A$1:$F$30</definedName>
    <definedName name="_xlnm.Print_Area" localSheetId="5">'Annex 6 2016 RB XB'!$A$1:$F$59</definedName>
    <definedName name="_xlnm.Print_Area" localSheetId="6">'Annex 7 2017 RB XB'!$A$1:$F$59</definedName>
  </definedNames>
  <calcPr calcId="145621"/>
</workbook>
</file>

<file path=xl/calcChain.xml><?xml version="1.0" encoding="utf-8"?>
<calcChain xmlns="http://schemas.openxmlformats.org/spreadsheetml/2006/main">
  <c r="E54" i="4" l="1"/>
  <c r="E47" i="4"/>
  <c r="E48" i="5"/>
  <c r="C48" i="5" s="1"/>
  <c r="E48" i="4"/>
  <c r="C48" i="4" s="1"/>
  <c r="C36" i="8" l="1"/>
  <c r="E19" i="9"/>
  <c r="E18" i="9"/>
  <c r="C19" i="9"/>
  <c r="G19" i="9" s="1"/>
  <c r="C18" i="9"/>
  <c r="G18" i="9" s="1"/>
  <c r="K18" i="4"/>
  <c r="O68" i="11"/>
  <c r="O60" i="11"/>
  <c r="O59" i="11"/>
  <c r="O58" i="11"/>
  <c r="C8" i="8" l="1"/>
  <c r="C7" i="8"/>
  <c r="C6" i="8"/>
  <c r="J10" i="9"/>
  <c r="K10" i="9" s="1"/>
  <c r="E78" i="8" s="1"/>
  <c r="J9" i="9"/>
  <c r="J8" i="9"/>
  <c r="J7" i="9"/>
  <c r="J6" i="9"/>
  <c r="D10" i="9"/>
  <c r="E10" i="9" s="1"/>
  <c r="C78" i="8" s="1"/>
  <c r="D9" i="9"/>
  <c r="D8" i="9"/>
  <c r="D7" i="9"/>
  <c r="D6" i="9"/>
  <c r="I8" i="9"/>
  <c r="I17" i="5"/>
  <c r="I14" i="5"/>
  <c r="I13" i="5"/>
  <c r="K19" i="4"/>
  <c r="K21" i="4"/>
  <c r="K8" i="9" l="1"/>
  <c r="E76" i="8" s="1"/>
  <c r="J13" i="9"/>
  <c r="D13" i="9"/>
  <c r="E51" i="5" l="1"/>
  <c r="E51" i="4"/>
  <c r="E44" i="5"/>
  <c r="E44" i="4"/>
  <c r="E13" i="5" l="1"/>
  <c r="E13" i="4"/>
  <c r="E24" i="3"/>
  <c r="D24" i="3"/>
  <c r="O71" i="11"/>
  <c r="O75" i="11"/>
  <c r="O74" i="11"/>
  <c r="O73" i="11"/>
  <c r="R39" i="11"/>
  <c r="O39" i="11"/>
  <c r="F39" i="4"/>
  <c r="F37" i="4"/>
  <c r="E16" i="3"/>
  <c r="F57" i="5"/>
  <c r="C57" i="5"/>
  <c r="D16" i="3"/>
  <c r="F57" i="4"/>
  <c r="C57" i="4"/>
  <c r="C58" i="4"/>
  <c r="E29" i="5" l="1"/>
  <c r="E29" i="4"/>
  <c r="O76" i="11" l="1"/>
  <c r="O72" i="11"/>
  <c r="R72" i="11"/>
  <c r="P72" i="11"/>
  <c r="O70" i="11"/>
  <c r="O67" i="11"/>
  <c r="R66" i="11"/>
  <c r="R65" i="11"/>
  <c r="O64" i="11"/>
  <c r="R63" i="11"/>
  <c r="R62" i="11"/>
  <c r="O61" i="11"/>
  <c r="R59" i="11"/>
  <c r="P59" i="11"/>
  <c r="R58" i="11"/>
  <c r="R53" i="11"/>
  <c r="R54" i="11"/>
  <c r="R57" i="11"/>
  <c r="O56" i="11"/>
  <c r="O55" i="11"/>
  <c r="O52" i="11"/>
  <c r="R50" i="11"/>
  <c r="O47" i="11"/>
  <c r="O40" i="11"/>
  <c r="R31" i="11"/>
  <c r="O31" i="11"/>
  <c r="R25" i="11"/>
  <c r="O25" i="11"/>
  <c r="R22" i="11"/>
  <c r="O22" i="11"/>
  <c r="R8" i="11"/>
  <c r="R6" i="11"/>
  <c r="R7" i="11"/>
  <c r="O8" i="11"/>
  <c r="O6" i="11"/>
  <c r="O7" i="11"/>
  <c r="R79" i="11" l="1"/>
  <c r="O79" i="11"/>
  <c r="R48" i="11" l="1"/>
  <c r="E38" i="5" l="1"/>
  <c r="E38" i="4"/>
  <c r="D11" i="3" l="1"/>
  <c r="F11" i="5"/>
  <c r="O44" i="11"/>
  <c r="O41" i="11"/>
  <c r="O42" i="11"/>
  <c r="O43" i="11"/>
  <c r="O45" i="11"/>
  <c r="E49" i="5"/>
  <c r="E50" i="5"/>
  <c r="E49" i="4"/>
  <c r="E55" i="5"/>
  <c r="F36" i="5"/>
  <c r="F36" i="4" l="1"/>
  <c r="D22" i="3"/>
  <c r="E18" i="3" l="1"/>
  <c r="D18" i="3"/>
  <c r="E19" i="3"/>
  <c r="D19" i="3"/>
  <c r="E15" i="3"/>
  <c r="D15" i="3"/>
  <c r="E11" i="3"/>
  <c r="R71" i="11"/>
  <c r="E12" i="3"/>
  <c r="D12" i="3"/>
  <c r="E6" i="3"/>
  <c r="D6" i="3"/>
  <c r="E14" i="3"/>
  <c r="D14" i="3"/>
  <c r="E10" i="3"/>
  <c r="D10" i="3"/>
  <c r="E8" i="3"/>
  <c r="D8" i="3"/>
  <c r="E7" i="3"/>
  <c r="D7" i="3"/>
  <c r="R13" i="11"/>
  <c r="R12" i="11"/>
  <c r="R11" i="11"/>
  <c r="O11" i="11"/>
  <c r="O12" i="11"/>
  <c r="O13" i="11"/>
  <c r="Q47" i="11"/>
  <c r="Q50" i="11"/>
  <c r="R47" i="11"/>
  <c r="N44" i="11"/>
  <c r="N46" i="11"/>
  <c r="N45" i="11"/>
  <c r="N43" i="11"/>
  <c r="N42" i="11"/>
  <c r="N41" i="11"/>
  <c r="Q6" i="11"/>
  <c r="N6" i="11"/>
  <c r="O69" i="11"/>
  <c r="O49" i="11"/>
  <c r="O48" i="11"/>
  <c r="D30" i="5"/>
  <c r="D15" i="5"/>
  <c r="D9" i="5"/>
  <c r="D29" i="5"/>
  <c r="D15" i="4"/>
  <c r="D29" i="4"/>
  <c r="D9" i="4"/>
  <c r="D30" i="4"/>
  <c r="D36" i="5"/>
  <c r="D36" i="4"/>
  <c r="D7" i="4"/>
  <c r="E13" i="2"/>
  <c r="E9" i="2"/>
  <c r="E10" i="2"/>
  <c r="E11" i="2"/>
  <c r="E12" i="2"/>
  <c r="H7" i="7" l="1"/>
  <c r="I7" i="7"/>
  <c r="H8" i="7"/>
  <c r="I8" i="7"/>
  <c r="H9" i="7"/>
  <c r="I9" i="7"/>
  <c r="H10" i="7"/>
  <c r="I10" i="7"/>
  <c r="H11" i="7"/>
  <c r="I11" i="7"/>
  <c r="H12" i="7"/>
  <c r="I12" i="7"/>
  <c r="H13" i="7"/>
  <c r="I14" i="7"/>
  <c r="I15" i="7"/>
  <c r="H16" i="7"/>
  <c r="I16" i="7"/>
  <c r="H17" i="7"/>
  <c r="H18" i="7"/>
  <c r="I18" i="7"/>
  <c r="I19" i="7"/>
  <c r="H20" i="7"/>
  <c r="I20" i="7"/>
  <c r="I21" i="7"/>
  <c r="I22" i="7"/>
  <c r="I23" i="7"/>
  <c r="I24" i="7"/>
  <c r="I25" i="7"/>
  <c r="I26" i="7"/>
  <c r="H27" i="7"/>
  <c r="I27" i="7"/>
  <c r="H28" i="7"/>
  <c r="I28" i="7"/>
  <c r="H29" i="7"/>
  <c r="I29" i="7"/>
  <c r="H30" i="7"/>
  <c r="I30" i="7"/>
  <c r="H31" i="7"/>
  <c r="I31" i="7"/>
  <c r="H32" i="7"/>
  <c r="I32" i="7"/>
  <c r="H33" i="7"/>
  <c r="I33" i="7"/>
  <c r="I34" i="7"/>
  <c r="H35" i="7"/>
  <c r="I35" i="7"/>
  <c r="H36" i="7"/>
  <c r="I36" i="7"/>
  <c r="H37" i="7"/>
  <c r="I37" i="7"/>
  <c r="H38" i="7"/>
  <c r="I38" i="7"/>
  <c r="H39" i="7"/>
  <c r="I39" i="7"/>
  <c r="I40" i="7"/>
  <c r="I41" i="7"/>
  <c r="H42" i="7"/>
  <c r="I42" i="7"/>
  <c r="H43" i="7"/>
  <c r="I43" i="7"/>
  <c r="H44" i="7"/>
  <c r="I44" i="7"/>
  <c r="I45" i="7"/>
  <c r="I46" i="7"/>
  <c r="I47" i="7"/>
  <c r="H48" i="7"/>
  <c r="I48" i="7"/>
  <c r="H49" i="7"/>
  <c r="I49" i="7"/>
  <c r="H50" i="7"/>
  <c r="I50" i="7"/>
  <c r="H51" i="7"/>
  <c r="I51" i="7"/>
  <c r="I52" i="7"/>
  <c r="I53" i="7"/>
  <c r="H54" i="7"/>
  <c r="I54" i="7"/>
  <c r="I55" i="7"/>
  <c r="I56" i="7"/>
  <c r="H6" i="7"/>
  <c r="E7" i="7"/>
  <c r="F7" i="7"/>
  <c r="E8" i="7"/>
  <c r="F8" i="7"/>
  <c r="E9" i="7"/>
  <c r="F9" i="7"/>
  <c r="E10" i="7"/>
  <c r="F10" i="7"/>
  <c r="E11" i="7"/>
  <c r="F11" i="7"/>
  <c r="E12" i="7"/>
  <c r="F12" i="7"/>
  <c r="E13" i="7"/>
  <c r="F13"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F34" i="7"/>
  <c r="F35" i="7"/>
  <c r="E36" i="7"/>
  <c r="F36" i="7"/>
  <c r="E37" i="7"/>
  <c r="F37" i="7"/>
  <c r="E38" i="7"/>
  <c r="F38" i="7"/>
  <c r="E39" i="7"/>
  <c r="F39" i="7"/>
  <c r="E40" i="7"/>
  <c r="F40" i="7"/>
  <c r="E41" i="7"/>
  <c r="F41" i="7"/>
  <c r="E42" i="7"/>
  <c r="F42" i="7"/>
  <c r="E43" i="7"/>
  <c r="F43" i="7"/>
  <c r="E44" i="7"/>
  <c r="F44" i="7"/>
  <c r="E45" i="7"/>
  <c r="F45" i="7"/>
  <c r="E46" i="7"/>
  <c r="F46" i="7"/>
  <c r="E47" i="7"/>
  <c r="F47" i="7"/>
  <c r="E48" i="7"/>
  <c r="F48" i="7"/>
  <c r="F49" i="7"/>
  <c r="E50" i="7"/>
  <c r="F50" i="7"/>
  <c r="E51" i="7"/>
  <c r="F51" i="7"/>
  <c r="E52" i="7"/>
  <c r="F52" i="7"/>
  <c r="E53" i="7"/>
  <c r="F53" i="7"/>
  <c r="F54" i="7"/>
  <c r="E55" i="7"/>
  <c r="F55" i="7"/>
  <c r="E56" i="7"/>
  <c r="F56" i="7"/>
  <c r="F6" i="7"/>
  <c r="E6" i="7"/>
  <c r="E15" i="5"/>
  <c r="H14" i="7" s="1"/>
  <c r="E15" i="4"/>
  <c r="E14" i="7" s="1"/>
  <c r="F34" i="5" l="1"/>
  <c r="E42" i="5"/>
  <c r="H41" i="7" s="1"/>
  <c r="E41" i="5"/>
  <c r="H40" i="7" s="1"/>
  <c r="E41" i="4"/>
  <c r="E40" i="4"/>
  <c r="E42" i="4"/>
  <c r="F39" i="5"/>
  <c r="E47" i="5"/>
  <c r="E53" i="5"/>
  <c r="H52" i="7" s="1"/>
  <c r="D13" i="3"/>
  <c r="H46" i="7" l="1"/>
  <c r="E35" i="7"/>
  <c r="E27" i="4"/>
  <c r="E53" i="4" l="1"/>
  <c r="E55" i="4"/>
  <c r="E54" i="7" s="1"/>
  <c r="E50" i="4"/>
  <c r="E49" i="7" s="1"/>
  <c r="F11" i="4"/>
  <c r="F34" i="4"/>
  <c r="P85" i="11" l="1"/>
  <c r="P87" i="11" s="1"/>
  <c r="M85" i="11"/>
  <c r="M87" i="11" s="1"/>
  <c r="R83" i="11"/>
  <c r="Q83" i="11"/>
  <c r="O83" i="11"/>
  <c r="N83" i="11"/>
  <c r="Q79" i="11"/>
  <c r="N79" i="11"/>
  <c r="R76" i="11"/>
  <c r="Q76" i="11"/>
  <c r="N76" i="11"/>
  <c r="Q72" i="11"/>
  <c r="N72" i="11"/>
  <c r="Q71" i="11"/>
  <c r="N71" i="11"/>
  <c r="R70" i="11"/>
  <c r="Q70" i="11"/>
  <c r="N70" i="11"/>
  <c r="R69" i="11"/>
  <c r="Q69" i="11"/>
  <c r="N69" i="11"/>
  <c r="R68" i="11"/>
  <c r="Q68" i="11"/>
  <c r="N68" i="11"/>
  <c r="R67" i="11"/>
  <c r="Q67" i="11"/>
  <c r="N67" i="11"/>
  <c r="Q66" i="11"/>
  <c r="O66" i="11"/>
  <c r="N66" i="11"/>
  <c r="Q65" i="11"/>
  <c r="O65" i="11"/>
  <c r="N65" i="11"/>
  <c r="R64" i="11"/>
  <c r="Q64" i="11"/>
  <c r="N64" i="11"/>
  <c r="Q63" i="11"/>
  <c r="O63" i="11"/>
  <c r="N63" i="11"/>
  <c r="Q62" i="11"/>
  <c r="O62" i="11"/>
  <c r="N62" i="11"/>
  <c r="R61" i="11"/>
  <c r="Q61" i="11"/>
  <c r="N61" i="11"/>
  <c r="R60" i="11"/>
  <c r="Q60" i="11"/>
  <c r="N60" i="11"/>
  <c r="Q59" i="11"/>
  <c r="N59" i="11"/>
  <c r="Q58" i="11"/>
  <c r="N58" i="11"/>
  <c r="Q57" i="11"/>
  <c r="O57" i="11"/>
  <c r="N57" i="11"/>
  <c r="R56" i="11"/>
  <c r="Q56" i="11"/>
  <c r="N56" i="11"/>
  <c r="R55" i="11"/>
  <c r="Q55" i="11"/>
  <c r="N55" i="11"/>
  <c r="Q54" i="11"/>
  <c r="O54" i="11"/>
  <c r="N54" i="11"/>
  <c r="Q53" i="11"/>
  <c r="O53" i="11"/>
  <c r="N53" i="11"/>
  <c r="R52" i="11"/>
  <c r="Q52" i="11"/>
  <c r="N52" i="11"/>
  <c r="R51" i="11"/>
  <c r="Q51" i="11"/>
  <c r="O51" i="11"/>
  <c r="N51" i="11"/>
  <c r="N50" i="11"/>
  <c r="R49" i="11"/>
  <c r="Q49" i="11"/>
  <c r="N49" i="11"/>
  <c r="Q48" i="11"/>
  <c r="N48" i="11"/>
  <c r="N47" i="11"/>
  <c r="R46" i="11"/>
  <c r="Q46" i="11"/>
  <c r="R45" i="11"/>
  <c r="Q45" i="11"/>
  <c r="R44" i="11"/>
  <c r="Q44" i="11"/>
  <c r="R43" i="11"/>
  <c r="Q43" i="11"/>
  <c r="R42" i="11"/>
  <c r="Q42" i="11"/>
  <c r="R41" i="11"/>
  <c r="Q41" i="11"/>
  <c r="R40" i="11"/>
  <c r="Q40" i="11"/>
  <c r="N40" i="11"/>
  <c r="Q39" i="11"/>
  <c r="N39" i="11"/>
  <c r="R36" i="11"/>
  <c r="Q36" i="11"/>
  <c r="O36" i="11"/>
  <c r="N36" i="11"/>
  <c r="Q31" i="11"/>
  <c r="N31" i="11"/>
  <c r="R28" i="11"/>
  <c r="Q28" i="11"/>
  <c r="O28" i="11"/>
  <c r="N28" i="11"/>
  <c r="Q25" i="11"/>
  <c r="Q22" i="11"/>
  <c r="N22" i="11"/>
  <c r="R19" i="11"/>
  <c r="Q19" i="11"/>
  <c r="O19" i="11"/>
  <c r="N19" i="11"/>
  <c r="R18" i="11"/>
  <c r="Q18" i="11"/>
  <c r="O18" i="11"/>
  <c r="N18" i="11"/>
  <c r="Q13" i="11"/>
  <c r="N13" i="11"/>
  <c r="Q12" i="11"/>
  <c r="N12" i="11"/>
  <c r="Q11" i="11"/>
  <c r="N11" i="11"/>
  <c r="R85" i="11" l="1"/>
  <c r="O85" i="11"/>
  <c r="N85" i="11"/>
  <c r="N87" i="11" s="1"/>
  <c r="Q85" i="11"/>
  <c r="Q87" i="11" s="1"/>
  <c r="D8" i="4"/>
  <c r="E35" i="5"/>
  <c r="E54" i="5"/>
  <c r="D18" i="5"/>
  <c r="I17" i="7" s="1"/>
  <c r="E35" i="4"/>
  <c r="E27" i="5"/>
  <c r="H26" i="7" s="1"/>
  <c r="H47" i="7" l="1"/>
  <c r="E22" i="3"/>
  <c r="C54" i="5"/>
  <c r="E13" i="3"/>
  <c r="E20" i="3" s="1"/>
  <c r="H53" i="7"/>
  <c r="H34" i="7"/>
  <c r="D23" i="3"/>
  <c r="D25" i="3" s="1"/>
  <c r="E59" i="4"/>
  <c r="E34" i="7"/>
  <c r="O87" i="11"/>
  <c r="R87" i="11"/>
  <c r="E26" i="5"/>
  <c r="H25" i="7" s="1"/>
  <c r="E25" i="5"/>
  <c r="H24" i="7" s="1"/>
  <c r="E26" i="4"/>
  <c r="E25" i="4"/>
  <c r="E24" i="5"/>
  <c r="H23" i="7" s="1"/>
  <c r="E23" i="5"/>
  <c r="H22" i="7" s="1"/>
  <c r="E22" i="5"/>
  <c r="H21" i="7" s="1"/>
  <c r="E22" i="4"/>
  <c r="E24" i="4"/>
  <c r="E23" i="4"/>
  <c r="M3" i="10"/>
  <c r="G3" i="10"/>
  <c r="C3" i="10"/>
  <c r="D3" i="10"/>
  <c r="E3" i="10"/>
  <c r="F3" i="10"/>
  <c r="H7" i="10"/>
  <c r="L7" i="10"/>
  <c r="K7" i="10"/>
  <c r="J7" i="10"/>
  <c r="I7" i="10"/>
  <c r="G7" i="10"/>
  <c r="F7" i="10"/>
  <c r="E7" i="10"/>
  <c r="D7" i="10"/>
  <c r="C7" i="10"/>
  <c r="E46" i="5"/>
  <c r="H45" i="7" s="1"/>
  <c r="E46" i="4"/>
  <c r="N19" i="10"/>
  <c r="M19" i="10"/>
  <c r="L19" i="10"/>
  <c r="K19" i="10"/>
  <c r="J19" i="10"/>
  <c r="I19" i="10"/>
  <c r="H19" i="10"/>
  <c r="G19" i="10"/>
  <c r="F19" i="10"/>
  <c r="E19" i="10"/>
  <c r="D19" i="10"/>
  <c r="C19" i="10"/>
  <c r="N15" i="10"/>
  <c r="M15" i="10"/>
  <c r="L15" i="10"/>
  <c r="K15" i="10"/>
  <c r="J15" i="10"/>
  <c r="I15" i="10"/>
  <c r="H15" i="10"/>
  <c r="G15" i="10"/>
  <c r="F15" i="10"/>
  <c r="E15" i="10"/>
  <c r="D15" i="10"/>
  <c r="C15" i="10"/>
  <c r="E20" i="5"/>
  <c r="H19" i="7" s="1"/>
  <c r="D18" i="4" l="1"/>
  <c r="D14" i="4"/>
  <c r="D14" i="5"/>
  <c r="E56" i="5"/>
  <c r="H55" i="7" s="1"/>
  <c r="E56" i="4"/>
  <c r="E16" i="4"/>
  <c r="E16" i="5"/>
  <c r="H15" i="7" l="1"/>
  <c r="E23" i="3"/>
  <c r="E25" i="3" s="1"/>
  <c r="E27" i="3" s="1"/>
  <c r="D7" i="5"/>
  <c r="I6" i="7" s="1"/>
  <c r="I13" i="7"/>
  <c r="F59" i="4"/>
  <c r="E58" i="4"/>
  <c r="E58" i="5"/>
  <c r="H56" i="7" s="1"/>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9" i="5"/>
  <c r="C50" i="5"/>
  <c r="C51" i="5"/>
  <c r="C52" i="5"/>
  <c r="C53" i="5"/>
  <c r="C55" i="5"/>
  <c r="C56" i="5"/>
  <c r="C58" i="5"/>
  <c r="C8" i="5"/>
  <c r="C7" i="5" l="1"/>
  <c r="I6" i="9"/>
  <c r="K6" i="9" s="1"/>
  <c r="E59" i="5"/>
  <c r="I7" i="9"/>
  <c r="K7" i="9" s="1"/>
  <c r="E75" i="8" s="1"/>
  <c r="I15" i="5"/>
  <c r="I9" i="9" s="1"/>
  <c r="K9" i="9" s="1"/>
  <c r="F62" i="4"/>
  <c r="D32" i="3"/>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9" i="4"/>
  <c r="C50" i="4"/>
  <c r="C51" i="4"/>
  <c r="C52" i="4"/>
  <c r="C53" i="4"/>
  <c r="C54" i="4"/>
  <c r="K22" i="4" s="1"/>
  <c r="C8" i="9" s="1"/>
  <c r="E8" i="9" s="1"/>
  <c r="C76" i="8" s="1"/>
  <c r="C55" i="4"/>
  <c r="C56" i="4"/>
  <c r="C9" i="4"/>
  <c r="C10" i="4"/>
  <c r="C11" i="4"/>
  <c r="C12" i="4"/>
  <c r="C13" i="4"/>
  <c r="C14" i="4"/>
  <c r="C15" i="4"/>
  <c r="C16" i="4"/>
  <c r="C17" i="4"/>
  <c r="C18" i="4"/>
  <c r="C7" i="4"/>
  <c r="C8" i="4"/>
  <c r="E74" i="8" l="1"/>
  <c r="E77" i="8"/>
  <c r="I16" i="5"/>
  <c r="C7" i="9"/>
  <c r="E7" i="9" s="1"/>
  <c r="C75" i="8" s="1"/>
  <c r="K20" i="4"/>
  <c r="C9" i="9" s="1"/>
  <c r="E9" i="9" s="1"/>
  <c r="C77" i="8" s="1"/>
  <c r="C6" i="9"/>
  <c r="E6" i="9" s="1"/>
  <c r="C59" i="4"/>
  <c r="K23" i="4" s="1"/>
  <c r="C74" i="8" l="1"/>
  <c r="C11" i="9"/>
  <c r="E11" i="9" s="1"/>
  <c r="E13" i="9" s="1"/>
  <c r="D59" i="4"/>
  <c r="G14" i="7"/>
  <c r="G8" i="7"/>
  <c r="G9" i="7"/>
  <c r="G10" i="7"/>
  <c r="G11" i="7"/>
  <c r="G12" i="7"/>
  <c r="G13" i="7"/>
  <c r="G15" i="7"/>
  <c r="G16" i="7"/>
  <c r="G17" i="7"/>
  <c r="G18" i="7"/>
  <c r="G19" i="7"/>
  <c r="G20" i="7"/>
  <c r="G21" i="7"/>
  <c r="G22" i="7"/>
  <c r="G23" i="7"/>
  <c r="G24" i="7"/>
  <c r="G25" i="7"/>
  <c r="G26" i="7"/>
  <c r="G27" i="7"/>
  <c r="G28" i="7"/>
  <c r="G29" i="7"/>
  <c r="G30" i="7"/>
  <c r="G31" i="7"/>
  <c r="G32" i="7"/>
  <c r="G33" i="7"/>
  <c r="G34" i="7"/>
  <c r="G36" i="7"/>
  <c r="G37" i="7"/>
  <c r="G38" i="7"/>
  <c r="G39" i="7"/>
  <c r="G40" i="7"/>
  <c r="G41" i="7"/>
  <c r="G42" i="7"/>
  <c r="G43" i="7"/>
  <c r="G44" i="7"/>
  <c r="G45" i="7"/>
  <c r="G46" i="7"/>
  <c r="G47" i="7"/>
  <c r="G48" i="7"/>
  <c r="G49" i="7"/>
  <c r="G50" i="7"/>
  <c r="G51" i="7"/>
  <c r="G52" i="7"/>
  <c r="G53" i="7"/>
  <c r="G54" i="7"/>
  <c r="G55" i="7"/>
  <c r="G56" i="7"/>
  <c r="G7" i="7"/>
  <c r="G6" i="7"/>
  <c r="I57" i="7"/>
  <c r="D14" i="7"/>
  <c r="D8" i="7"/>
  <c r="J8" i="7" s="1"/>
  <c r="D9" i="7"/>
  <c r="J9" i="7" s="1"/>
  <c r="D10" i="7"/>
  <c r="D11" i="7"/>
  <c r="D12" i="7"/>
  <c r="D13" i="7"/>
  <c r="J13" i="7" s="1"/>
  <c r="D15" i="7"/>
  <c r="D16" i="7"/>
  <c r="D17" i="7"/>
  <c r="J17" i="7" s="1"/>
  <c r="D18" i="7"/>
  <c r="J18" i="7" s="1"/>
  <c r="D19" i="7"/>
  <c r="D20" i="7"/>
  <c r="D21" i="7"/>
  <c r="J21" i="7" s="1"/>
  <c r="D22" i="7"/>
  <c r="J22" i="7" s="1"/>
  <c r="D23" i="7"/>
  <c r="D24" i="7"/>
  <c r="D25" i="7"/>
  <c r="J25" i="7" s="1"/>
  <c r="D26" i="7"/>
  <c r="J26" i="7" s="1"/>
  <c r="D27" i="7"/>
  <c r="D28" i="7"/>
  <c r="D29" i="7"/>
  <c r="D30" i="7"/>
  <c r="J30" i="7" s="1"/>
  <c r="D31" i="7"/>
  <c r="D32" i="7"/>
  <c r="D33" i="7"/>
  <c r="J33" i="7" s="1"/>
  <c r="D34" i="7"/>
  <c r="D35" i="7"/>
  <c r="D36" i="7"/>
  <c r="J36" i="7" s="1"/>
  <c r="D37" i="7"/>
  <c r="D38" i="7"/>
  <c r="D39" i="7"/>
  <c r="D40" i="7"/>
  <c r="J40" i="7" s="1"/>
  <c r="D41" i="7"/>
  <c r="D42" i="7"/>
  <c r="J42" i="7" s="1"/>
  <c r="D43" i="7"/>
  <c r="J43" i="7" s="1"/>
  <c r="D44" i="7"/>
  <c r="J44" i="7" s="1"/>
  <c r="D45" i="7"/>
  <c r="J45" i="7" s="1"/>
  <c r="D46" i="7"/>
  <c r="J46" i="7" s="1"/>
  <c r="D47" i="7"/>
  <c r="D48" i="7"/>
  <c r="J48" i="7" s="1"/>
  <c r="D49" i="7"/>
  <c r="D50" i="7"/>
  <c r="D51" i="7"/>
  <c r="J51" i="7" s="1"/>
  <c r="D52" i="7"/>
  <c r="J52" i="7" s="1"/>
  <c r="D53" i="7"/>
  <c r="D54" i="7"/>
  <c r="J54" i="7" s="1"/>
  <c r="D55" i="7"/>
  <c r="D56" i="7"/>
  <c r="J56" i="7" s="1"/>
  <c r="D7" i="7"/>
  <c r="J7" i="7" s="1"/>
  <c r="D6" i="7"/>
  <c r="D20" i="3"/>
  <c r="C59" i="5"/>
  <c r="F59" i="5"/>
  <c r="D59" i="5"/>
  <c r="F57" i="7"/>
  <c r="C57" i="7"/>
  <c r="D9" i="2"/>
  <c r="E57" i="7"/>
  <c r="G35" i="7"/>
  <c r="H57" i="7"/>
  <c r="I18" i="5" l="1"/>
  <c r="I11" i="9" s="1"/>
  <c r="F6" i="9"/>
  <c r="F9" i="9"/>
  <c r="F10" i="9"/>
  <c r="F8" i="9"/>
  <c r="F7" i="9"/>
  <c r="C9" i="8"/>
  <c r="C79" i="8"/>
  <c r="F11" i="9"/>
  <c r="J50" i="7"/>
  <c r="J11" i="7"/>
  <c r="J32" i="7"/>
  <c r="J24" i="7"/>
  <c r="J20" i="7"/>
  <c r="J16" i="7"/>
  <c r="J35" i="7"/>
  <c r="J31" i="7"/>
  <c r="J27" i="7"/>
  <c r="J23" i="7"/>
  <c r="J19" i="7"/>
  <c r="J15" i="7"/>
  <c r="J10" i="7"/>
  <c r="J55" i="7"/>
  <c r="J39" i="7"/>
  <c r="J6" i="7"/>
  <c r="J41" i="7"/>
  <c r="J34" i="7"/>
  <c r="J49" i="7"/>
  <c r="E32" i="3"/>
  <c r="E34" i="3" s="1"/>
  <c r="J28" i="7"/>
  <c r="D27" i="3"/>
  <c r="D34" i="3" s="1"/>
  <c r="J53" i="7"/>
  <c r="J12" i="7"/>
  <c r="J47" i="7"/>
  <c r="J29" i="7"/>
  <c r="J14" i="7"/>
  <c r="G57" i="7"/>
  <c r="D57" i="7"/>
  <c r="C13" i="9"/>
  <c r="K11" i="9" l="1"/>
  <c r="I13" i="9"/>
  <c r="C10" i="8"/>
  <c r="D6" i="8" s="1"/>
  <c r="C20" i="9"/>
  <c r="C80" i="8"/>
  <c r="J57" i="7"/>
  <c r="E79" i="8" l="1"/>
  <c r="K13" i="9"/>
  <c r="L11" i="9" s="1"/>
  <c r="C22" i="9"/>
  <c r="D7" i="8"/>
  <c r="D8" i="8"/>
  <c r="D9" i="8"/>
  <c r="D5" i="8"/>
  <c r="D77" i="8"/>
  <c r="D78" i="8"/>
  <c r="D75" i="8"/>
  <c r="D76" i="8"/>
  <c r="D74" i="8"/>
  <c r="D79" i="8"/>
  <c r="F13" i="9"/>
  <c r="E80" i="8" l="1"/>
  <c r="L10" i="9"/>
  <c r="L8" i="9"/>
  <c r="L7" i="9"/>
  <c r="L9" i="9"/>
  <c r="C38" i="8"/>
  <c r="L6" i="9"/>
  <c r="D19" i="9"/>
  <c r="D18" i="9"/>
  <c r="D20" i="9"/>
  <c r="E16" i="2"/>
  <c r="F75" i="8" l="1"/>
  <c r="F74" i="8"/>
  <c r="F76" i="8"/>
  <c r="F78" i="8"/>
  <c r="F77" i="8"/>
  <c r="L13" i="9"/>
  <c r="C39" i="8"/>
  <c r="E20" i="9"/>
  <c r="G20" i="9" s="1"/>
  <c r="F79" i="8"/>
  <c r="D22" i="9"/>
  <c r="G22" i="9" l="1"/>
  <c r="E22" i="9"/>
  <c r="F20" i="9"/>
  <c r="D38" i="8"/>
  <c r="D37" i="8"/>
  <c r="D36" i="8"/>
  <c r="D35" i="8"/>
  <c r="H19" i="9" l="1"/>
  <c r="H18" i="9"/>
  <c r="H22" i="9" s="1"/>
  <c r="H20" i="9"/>
  <c r="F18" i="9"/>
  <c r="F19" i="9"/>
  <c r="F22" i="9" l="1"/>
</calcChain>
</file>

<file path=xl/comments1.xml><?xml version="1.0" encoding="utf-8"?>
<comments xmlns="http://schemas.openxmlformats.org/spreadsheetml/2006/main">
  <authors>
    <author>Ron Kamwendo</author>
  </authors>
  <commentList>
    <comment ref="E15" authorId="0">
      <text>
        <r>
          <rPr>
            <b/>
            <sz val="9"/>
            <color indexed="81"/>
            <rFont val="Tahoma"/>
            <family val="2"/>
          </rPr>
          <t>Ron Kamwendo:</t>
        </r>
        <r>
          <rPr>
            <sz val="9"/>
            <color indexed="81"/>
            <rFont val="Tahoma"/>
            <family val="2"/>
          </rPr>
          <t xml:space="preserve">
assumes all staff are in position by 1st July according to the new oganogram</t>
        </r>
      </text>
    </comment>
  </commentList>
</comments>
</file>

<file path=xl/comments2.xml><?xml version="1.0" encoding="utf-8"?>
<comments xmlns="http://schemas.openxmlformats.org/spreadsheetml/2006/main">
  <authors>
    <author>Ron Kamwendo</author>
  </authors>
  <commentList>
    <comment ref="E15" authorId="0">
      <text>
        <r>
          <rPr>
            <b/>
            <sz val="9"/>
            <color indexed="81"/>
            <rFont val="Tahoma"/>
            <family val="2"/>
          </rPr>
          <t>Ron Kamwendo:</t>
        </r>
        <r>
          <rPr>
            <sz val="9"/>
            <color indexed="81"/>
            <rFont val="Tahoma"/>
            <family val="2"/>
          </rPr>
          <t xml:space="preserve">
Assumes full staff compliment</t>
        </r>
      </text>
    </comment>
  </commentList>
</comments>
</file>

<file path=xl/sharedStrings.xml><?xml version="1.0" encoding="utf-8"?>
<sst xmlns="http://schemas.openxmlformats.org/spreadsheetml/2006/main" count="607" uniqueCount="309">
  <si>
    <t>DESCRIPTION</t>
  </si>
  <si>
    <t xml:space="preserve">Proposed </t>
  </si>
  <si>
    <t>Budget</t>
  </si>
  <si>
    <t>Line</t>
  </si>
  <si>
    <t>Biennium</t>
  </si>
  <si>
    <t>Professional Posts</t>
  </si>
  <si>
    <t>Lecturers</t>
  </si>
  <si>
    <t>Administrative support staff</t>
  </si>
  <si>
    <t>Staff Training</t>
  </si>
  <si>
    <t>Premises/Building</t>
  </si>
  <si>
    <t>Communications</t>
  </si>
  <si>
    <t>Loss on Exchange</t>
  </si>
  <si>
    <t>Education Grant Travel</t>
  </si>
  <si>
    <t>Home Leave Travel</t>
  </si>
  <si>
    <t>Other Separation Costs</t>
  </si>
  <si>
    <t>Travel of Staff</t>
  </si>
  <si>
    <t>Travel of Consultants</t>
  </si>
  <si>
    <t>Consultants</t>
  </si>
  <si>
    <t>Travel of Lecturers</t>
  </si>
  <si>
    <t>External Contractual Interpretation Services</t>
  </si>
  <si>
    <t>Cleaning Services</t>
  </si>
  <si>
    <t>Gardening Services</t>
  </si>
  <si>
    <t>Security Services</t>
  </si>
  <si>
    <t>Electricity</t>
  </si>
  <si>
    <t>Water</t>
  </si>
  <si>
    <t>Fuel</t>
  </si>
  <si>
    <t>Hospitality</t>
  </si>
  <si>
    <t>Maintenance of Office Automation Equipment</t>
  </si>
  <si>
    <t>Miscellaneous Services</t>
  </si>
  <si>
    <t>Stationery &amp; Office Supplies</t>
  </si>
  <si>
    <t>Training Materials</t>
  </si>
  <si>
    <t>Non-Expendable Equipment</t>
  </si>
  <si>
    <t>Overtime</t>
  </si>
  <si>
    <t>Replacement of Software Package</t>
  </si>
  <si>
    <t>External Contractual Translation (Editing)</t>
  </si>
  <si>
    <t>Maintenance of Furniture &amp; Office Equipment</t>
  </si>
  <si>
    <t>Bank Charges</t>
  </si>
  <si>
    <t xml:space="preserve">Policy Dialogue </t>
  </si>
  <si>
    <t>Advanced Policy Research</t>
  </si>
  <si>
    <t xml:space="preserve">Education Grant </t>
  </si>
  <si>
    <t xml:space="preserve">Travel on Separation </t>
  </si>
  <si>
    <t>Commutation of Annual Leave on Separation</t>
  </si>
  <si>
    <t>Governing Council Meetings</t>
  </si>
  <si>
    <t>Contractual Services for Meetings &amp; Conferences</t>
  </si>
  <si>
    <t>Maintenance of  Communication Equipment</t>
  </si>
  <si>
    <t>Miscellaneous Claims &amp; Adjustments</t>
  </si>
  <si>
    <t>Books/Periodicals/Publications</t>
  </si>
  <si>
    <t>Audit Fee</t>
  </si>
  <si>
    <t>GRAND TOTAL</t>
  </si>
  <si>
    <t>Maintenance &amp; Operation of Transportation Eqt.</t>
  </si>
  <si>
    <t>Allotment</t>
  </si>
  <si>
    <t>GENERAL ASSEMBLY GRANT</t>
  </si>
  <si>
    <t>Budget Line</t>
  </si>
  <si>
    <t>M/M</t>
  </si>
  <si>
    <t>TOTAL</t>
  </si>
  <si>
    <t>Grand Total</t>
  </si>
  <si>
    <t>All XB Resources</t>
  </si>
  <si>
    <t>Support Personnel, Administrative and Overhead Costs</t>
  </si>
  <si>
    <t>IDEP Library &amp; IDEP Policy Publications</t>
  </si>
  <si>
    <t>Outreach and Dissemination Programmes &amp; Activities</t>
  </si>
  <si>
    <t>Capacity Development and Training Programmes</t>
  </si>
  <si>
    <t>Policy Research Programmes</t>
  </si>
  <si>
    <t>EXTRA BUDGETARY BY PROGRAMME OF ACTIVITIES</t>
  </si>
  <si>
    <t xml:space="preserve">Regular </t>
  </si>
  <si>
    <t>Extra-</t>
  </si>
  <si>
    <t>(RB &amp; XB)</t>
  </si>
  <si>
    <t>Marketing Promotion &amp; Visibility</t>
  </si>
  <si>
    <t>Fellowships &amp; Miscellaneaos services</t>
  </si>
  <si>
    <t>Development Seminars</t>
  </si>
  <si>
    <t>Administrative Support Staff</t>
  </si>
  <si>
    <t>Short term Courses</t>
  </si>
  <si>
    <t xml:space="preserve">Relocation &amp; Repatriation Grants </t>
  </si>
  <si>
    <t>Capacity Development and Training Programmes Short-term Courses (5)</t>
  </si>
  <si>
    <t>Capacity Development and Training Programmes Short-term Courses</t>
  </si>
  <si>
    <t>Need Assessment Training, Tailor -made &amp; Strategic outreach</t>
  </si>
  <si>
    <t>MSc Collaborative Programmes</t>
  </si>
  <si>
    <t>Need assessment &amp; strategic outreach</t>
  </si>
  <si>
    <t>Sub-total</t>
  </si>
  <si>
    <t>Administrative, Lagistics &amp; Equipments Support</t>
  </si>
  <si>
    <t>UN Grant</t>
  </si>
  <si>
    <t>Member State Contributions</t>
  </si>
  <si>
    <t>%</t>
  </si>
  <si>
    <t>Total</t>
  </si>
  <si>
    <t>Training</t>
  </si>
  <si>
    <t>Research</t>
  </si>
  <si>
    <t>Outreach &amp; Marketing</t>
  </si>
  <si>
    <t>Staff costs</t>
  </si>
  <si>
    <t>Common running costs</t>
  </si>
  <si>
    <t>A</t>
  </si>
  <si>
    <t>B</t>
  </si>
  <si>
    <t>Regular Budget</t>
  </si>
  <si>
    <t>Member States &amp; Other</t>
  </si>
  <si>
    <t>Extra Budgetary</t>
  </si>
  <si>
    <t>Governing Council and Technical Advisory Committee</t>
  </si>
  <si>
    <t>Lecturers for short courses</t>
  </si>
  <si>
    <t>Professional Posts (Director, Training Head, Administrator, Research Officer)</t>
  </si>
  <si>
    <t>FOR THE BIENNUM 2016/2017</t>
  </si>
  <si>
    <t>General Assembly Grant 2016/2017 Allotments</t>
  </si>
  <si>
    <t>BIENNIUM 2016 &amp; 2017</t>
  </si>
  <si>
    <t>Budget (UN Grant)</t>
  </si>
  <si>
    <t>Budgetary (MS + Other)</t>
  </si>
  <si>
    <t>Budgetary (Partners)</t>
  </si>
  <si>
    <t>2016/2017</t>
  </si>
  <si>
    <t>2016 IDEP Resources</t>
  </si>
  <si>
    <t>2016 UN Grant Resources</t>
  </si>
  <si>
    <t>2017 IDEP Resources</t>
  </si>
  <si>
    <t>2017 UN Grant Resources</t>
  </si>
  <si>
    <t>TOTAL BUDGET ESTIMATE FOR 2016</t>
  </si>
  <si>
    <t>TOTAL BUDGET ESTIMATE FOR 2017</t>
  </si>
  <si>
    <t>Governing Council and TAC Meetings</t>
  </si>
  <si>
    <t xml:space="preserve">Ly retirement - commutation of 60 leave-days </t>
  </si>
  <si>
    <t>Limited to the sum of $10,000 as per practice</t>
  </si>
  <si>
    <t>Less home leave travel and education grant estimate</t>
  </si>
  <si>
    <t>Extracted from UN grant allotments</t>
  </si>
  <si>
    <t>Jan</t>
  </si>
  <si>
    <t>Feb</t>
  </si>
  <si>
    <t>Mar</t>
  </si>
  <si>
    <t>Apr</t>
  </si>
  <si>
    <t>May</t>
  </si>
  <si>
    <t>Jun</t>
  </si>
  <si>
    <t>Jul</t>
  </si>
  <si>
    <t>Aug</t>
  </si>
  <si>
    <t>Sep</t>
  </si>
  <si>
    <t>Oct</t>
  </si>
  <si>
    <t>Nov</t>
  </si>
  <si>
    <t>Dec</t>
  </si>
  <si>
    <t xml:space="preserve">Gardening </t>
  </si>
  <si>
    <t>Security</t>
  </si>
  <si>
    <t xml:space="preserve">Cleaning </t>
  </si>
  <si>
    <t>Extract from UN Grants and difference is from MS Contribution based on salary projections</t>
  </si>
  <si>
    <t>Monthly Development Seminars</t>
  </si>
  <si>
    <t>To cover refreshments for up to 80 participants each session</t>
  </si>
  <si>
    <t xml:space="preserve">Three purchases averaging $2500 each </t>
  </si>
  <si>
    <t>Contract  based</t>
  </si>
  <si>
    <t>Based on trends of previous years</t>
  </si>
  <si>
    <t>based on trends of previous years slightly uplifted</t>
  </si>
  <si>
    <t>Estimate based on the need to fix toilets, basement, and electrical work</t>
  </si>
  <si>
    <t>General facilities maintenance contract</t>
  </si>
  <si>
    <t>Extracted from UN grant allotments - honararium</t>
  </si>
  <si>
    <t>Provisional sum for unknown and uncategorised expenses</t>
  </si>
  <si>
    <t>Based on trends of previuous years</t>
  </si>
  <si>
    <t>Travel to SMTs, COM, and Adhoc</t>
  </si>
  <si>
    <t>Based on two meetings of GC and Tac each for the year at $90K each set (drawn from trends)</t>
  </si>
  <si>
    <t>Based on three meetings of GC and two for TAC for the year (drawn from trends)</t>
  </si>
  <si>
    <t>Estimated based on max ed grant and number of dependants</t>
  </si>
  <si>
    <t>Estmated contribution to the cost of staff training for UMOJA (IPSAS, Finance, Grants, Funds, Travel, HR, Procurement, Service delivery, ESS/MSS)</t>
  </si>
  <si>
    <t>Fellowships &amp; Miscellaneous services</t>
  </si>
  <si>
    <t>No separations anticipated</t>
  </si>
  <si>
    <t>One home leave instance anticipated</t>
  </si>
  <si>
    <t>Two home leave instances anticipated</t>
  </si>
  <si>
    <t>Used to capture the estimated cost in 2016 for the development of an e-learning platform</t>
  </si>
  <si>
    <t>E-learning platform development &amp; software purchases and running costs</t>
  </si>
  <si>
    <t xml:space="preserve">Estimated as a new initiative since </t>
  </si>
  <si>
    <t>No relocation nor replatriation foreseen</t>
  </si>
  <si>
    <t>10 students on full schoalrship at UJ for the MSc Industrial Policy</t>
  </si>
  <si>
    <t>Based on previous trends</t>
  </si>
  <si>
    <t>Used to capture the estimated cost in 2016 for the development of an e-learning platform including the purchase of equipment - excludes preparatory consulting work</t>
  </si>
  <si>
    <t>IMDIS</t>
  </si>
  <si>
    <t xml:space="preserve">Servicing of intergovernmental and expert bodies (regular budget): </t>
  </si>
  <si>
    <t>COUNT</t>
  </si>
  <si>
    <t>COST - RB</t>
  </si>
  <si>
    <t>COST - XB</t>
  </si>
  <si>
    <t xml:space="preserve">Substantive servicing of meetings: </t>
  </si>
  <si>
    <t xml:space="preserve">Bi-annual sessions of the Governing Council of IDEP </t>
  </si>
  <si>
    <t>No</t>
  </si>
  <si>
    <t>High-level policy dialogues attended by policy officials from member States and private sector representatives</t>
  </si>
  <si>
    <t>Yes</t>
  </si>
  <si>
    <t xml:space="preserve">Parliamentary documentation: </t>
  </si>
  <si>
    <t xml:space="preserve"> Other substantive activities (regular budget): </t>
  </si>
  <si>
    <t>Non-recurrent publications:</t>
  </si>
  <si>
    <t>Discussion paper presented by authors to a diverse audience</t>
  </si>
  <si>
    <t xml:space="preserve">IDEP Policy brief on development planning derived from Fellowship research papers </t>
  </si>
  <si>
    <t>Booklets, Pamplets, Fact sheets, Wallchartsm,Information Kits:</t>
  </si>
  <si>
    <t>One set of information kit comprising items branded by the Institute (bags, pens, notepads, brochures, t-chirts, folders e.t.c)</t>
  </si>
  <si>
    <t>Exhibits, guided tours, lectures:</t>
  </si>
  <si>
    <t xml:space="preserve">Annual programme of public lectures on economic policy and management </t>
  </si>
  <si>
    <t>Electronic, audio and video issuances:</t>
  </si>
  <si>
    <t>CD-ROM documentary on the main substantive topics of the subprogramme</t>
  </si>
  <si>
    <t xml:space="preserve">Technical material: </t>
  </si>
  <si>
    <t>Maintenance of information and documentation services on economic development and planning (acquisition of library and knowledge materials and resources)</t>
  </si>
  <si>
    <t xml:space="preserve"> Technical cooperation (regular budget/extrabudgetary): </t>
  </si>
  <si>
    <t xml:space="preserve">Advisory services: </t>
  </si>
  <si>
    <t xml:space="preserve">Advisory services, upon request, to member States, intergovernmental, subregional and regional organizations and institutions and other stakeholders geared towards meeting technical assistance needs of national and regional development projects and programmes in the particular areas of: the design of economic recovery programmes; policy analysis; long-term perspectives studies; pre-feasibility studies and project analysis; negotiation strategies and approaches </t>
  </si>
  <si>
    <t xml:space="preserve">Training courses, seminars and workshops: </t>
  </si>
  <si>
    <t xml:space="preserve">Masters Degree in Industrial Policy </t>
  </si>
  <si>
    <t xml:space="preserve">Training of experts and policymakers on inclusive green economy and structural transformation —West and East Africa (with small island developing States) </t>
  </si>
  <si>
    <t>Course on regional integration delivered to 25 public officials from organs of African member States to enhance their policymaking skills in regional integration</t>
  </si>
  <si>
    <t>Course on agricultural policy delivered to 25 senior-level public officials from organs of African member States to expose them to best practices in the formulation and implementation of agricultural policy</t>
  </si>
  <si>
    <t>Course on international trade policy delivered to 25 senior-level public officials from organs of African member States to expose them to best practices in understanding, working with, contributing to, and critiquing international trade policies</t>
  </si>
  <si>
    <t>Course on international trade negotiations delivered to 25 senior-level public officials from organs of African member States to expose them to improve their understanding of international trade and expose them to best practices in approaching international trade negotiations</t>
  </si>
  <si>
    <t>Course on data and statistical analysis delivered to 25 mid-to senior-level public officials from organs of African member States to build their skills and expose them to best practices in collecting, analysing and interpreting statistical data for their economies</t>
  </si>
  <si>
    <t>Course on macroeconomic modelling —industrial policy delivered to 25 senior-level public officials from organs of African member States responsible for macroeconomic modelling to expose them to best practices and tools in modelling</t>
  </si>
  <si>
    <t>Three sessions on mining policy, minerals and mining contracts, and minerals and mining regulatory framework delivered to 75 parliamentarians and civil society officials of African member States to build and enhance their capacity in articulating and managing mining and minerals issues</t>
  </si>
  <si>
    <t>Course on social policy for development planners delivered to 25 selected development planners from African member States to enhance their appreciation of, and therefore inclusion into, development planning of social development aspects</t>
  </si>
  <si>
    <t>Training-of-trainers course in gender-responsive economic policy management delivered to 15 gender experts from various leading institutions to build their capacity in delivery of gender training</t>
  </si>
  <si>
    <t>Courses on minerals (legislation, contracting and policy) and African economic development planning for 50 representatives of legislation bodies, nongovernmental organizations and civil society organizations</t>
  </si>
  <si>
    <t>IN COLLABORATION WITH ECA DIVISIONS</t>
  </si>
  <si>
    <t xml:space="preserve">Workshops for strengthening the institutional capacity of regional economic communities/intergovernmental organizations and countries emerging from conflict or recovering from natural disasters </t>
  </si>
  <si>
    <t>Workshops to validate innovative tools for data collection, packaging and dissemination in support to ECA member States and regional economic communities in West Africa</t>
  </si>
  <si>
    <t xml:space="preserve">Certification training in energy demand and supply management </t>
  </si>
  <si>
    <t xml:space="preserve">Training on strengthening tourism data management in national economic output accounting </t>
  </si>
  <si>
    <t>Training in statistics (East Africa)</t>
  </si>
  <si>
    <t>Lectures on macroeconomics, energy security and planning, natural resources management and development of sustainable tourism</t>
  </si>
  <si>
    <t>Course Industrialization Policy</t>
  </si>
  <si>
    <t>Course on Trade Policy</t>
  </si>
  <si>
    <t>Course on Land Policy</t>
  </si>
  <si>
    <t xml:space="preserve">Workshop on policy mapping and social investment, with planning and budget specialists </t>
  </si>
  <si>
    <t>Workshop on cost of hunger in Africa for planning ministries and heads of national nutrition programmes</t>
  </si>
  <si>
    <t>Workshop on national urban policies, with planning experts</t>
  </si>
  <si>
    <t>Workshop on demographic dividend, with planning experts and heads of specialized agencies</t>
  </si>
  <si>
    <t xml:space="preserve">Regional hands-on capacity development workshop on integrating gender into socioeconomic policies and programmes towards inclusive, equitable and sustainable development in Africa, using tools developed by the subprogramme </t>
  </si>
  <si>
    <t xml:space="preserve">Topical issues on economic transformation in Southern Africa </t>
  </si>
  <si>
    <t xml:space="preserve">Course on modelling for structural transformation  </t>
  </si>
  <si>
    <t>Course on domestic resource mobilization</t>
  </si>
  <si>
    <t>Course on fundamentals of development planning</t>
  </si>
  <si>
    <t>Course on managing illicit financial flows</t>
  </si>
  <si>
    <t>Course on governance and development</t>
  </si>
  <si>
    <t>Training-of-trainers / Short courses on gender and economic policy management in French and English</t>
  </si>
  <si>
    <t>Course on monitoring the implementation of regional and global instruments using the African Gender and Development Index for the remaining 14 countries from the five subregions of Africa</t>
  </si>
  <si>
    <t xml:space="preserve">Fellowships and grants: </t>
  </si>
  <si>
    <t>Fellowships on economic policy and management and long-term development planning</t>
  </si>
  <si>
    <t>Field projects:</t>
  </si>
  <si>
    <t>Four field visits for participants on topical issues</t>
  </si>
  <si>
    <t>Total Outputs</t>
  </si>
  <si>
    <t>Adjusted Total Ouputs</t>
  </si>
  <si>
    <t>Covers DVD publications and general communications</t>
  </si>
  <si>
    <t>Includes advisory services, see course breakdown</t>
  </si>
  <si>
    <t xml:space="preserve">Includes non-recurrent publications, </t>
  </si>
  <si>
    <t xml:space="preserve">Capacity Development and Training Programmes Short-term Courses </t>
  </si>
  <si>
    <t>Extracted from UN grant allotments and previous trends</t>
  </si>
  <si>
    <t>Monthly periodicals, new acquisitions of library materials</t>
  </si>
  <si>
    <t>Based on trends of previous years slightly uplifted</t>
  </si>
  <si>
    <t xml:space="preserve">Based on trends of previous years </t>
  </si>
  <si>
    <t>Anticipated capex expenditure</t>
  </si>
  <si>
    <t>Covers information kit and other media exploits</t>
  </si>
  <si>
    <t>Budget estimate</t>
  </si>
  <si>
    <t>Provisional sum for vehicle repairs</t>
  </si>
  <si>
    <t>Provisional sum for the replacement of worn-out items and purchase of microphone</t>
  </si>
  <si>
    <t>Provisional sum for the purchase of conference room chairs</t>
  </si>
  <si>
    <t>Purchase of mobile interpretation equipment</t>
  </si>
  <si>
    <t>Estimated based on previous fellowships</t>
  </si>
  <si>
    <t>25 extracted from UN grant allotments for 2016 courses, amount to pay to UNITAR, and courses planned for 2016 respectively</t>
  </si>
  <si>
    <t>15 extracted from UN grant allotments</t>
  </si>
  <si>
    <t>2016-17 BREAKDOWN OF BUDGET</t>
  </si>
  <si>
    <t>To renew some office equipment &amp; purchase partial security equipment</t>
  </si>
  <si>
    <t>High-level policy dialogues</t>
  </si>
  <si>
    <t>Collaborative Short Courses with ECA</t>
  </si>
  <si>
    <t>E-leaning Platform and test run with UNITAR</t>
  </si>
  <si>
    <t>IDEP Communications</t>
  </si>
  <si>
    <t>ALLOTMENT 2016</t>
  </si>
  <si>
    <t>ALLOTMENT 2017</t>
  </si>
  <si>
    <t>Govermig Council / Technical Advisory Committee plus reports</t>
  </si>
  <si>
    <t>Sectoral and Thematic Core Short Courses, workshops</t>
  </si>
  <si>
    <t xml:space="preserve">Development Seminars </t>
  </si>
  <si>
    <t>Field project visits</t>
  </si>
  <si>
    <t>Capital expendindutes (Computers,Projectors, photocopier,interpretation equipments</t>
  </si>
  <si>
    <t>Research, Library, Knowledge Management</t>
  </si>
  <si>
    <t>Two sessions of the Technical Advisory Committee of the Governing Council</t>
  </si>
  <si>
    <t xml:space="preserve">Report on IDEP to the Conference of Ministers of Finance and Planning </t>
  </si>
  <si>
    <t>Monitoring and Evaluation</t>
  </si>
  <si>
    <t>MSc Programmes (Industrial Policy; Development Planning)</t>
  </si>
  <si>
    <t>ECA Retooling course - Statistical Methods and Analysis</t>
  </si>
  <si>
    <t>Trade policy analysis using modelling</t>
  </si>
  <si>
    <t>Trade and gender for middle to senior level staff in trade ministries</t>
  </si>
  <si>
    <t>Training manual in Industrial Policy and UNITAR ERA 2015 courses</t>
  </si>
  <si>
    <t>CDD,SRO-NA,ATPC</t>
  </si>
  <si>
    <t>CDD, ACPC, FF</t>
  </si>
  <si>
    <t>BADEA,FF,ECA Divisions,</t>
  </si>
  <si>
    <t>POTENTIAL SOURCE OF FUNDS</t>
  </si>
  <si>
    <t xml:space="preserve">BADEA,ECA </t>
  </si>
  <si>
    <t>All XB Resource overhead</t>
  </si>
  <si>
    <t>BADEA,FF,ECA Divisions, ABD,AUC, COMESA,MEFMI,UJ</t>
  </si>
  <si>
    <t>Prog Expenses</t>
  </si>
  <si>
    <t>Salaries</t>
  </si>
  <si>
    <t>Knowledge Mgt &amp; e-Learning</t>
  </si>
  <si>
    <t>Operating expenses</t>
  </si>
  <si>
    <t>Knowledge Management and e-learning</t>
  </si>
  <si>
    <t>Resources mobilisation</t>
  </si>
  <si>
    <t>Other Income</t>
  </si>
  <si>
    <t>KM and e-Learning</t>
  </si>
  <si>
    <t>Administrative Salaries</t>
  </si>
  <si>
    <t>Amount (US$)</t>
  </si>
  <si>
    <t>Category</t>
  </si>
  <si>
    <t>Admin staff costs</t>
  </si>
  <si>
    <t>Outreach and Marketing</t>
  </si>
  <si>
    <t>Reports of the Director to the IDEP Governing Council</t>
  </si>
  <si>
    <t>Reports of the Technical Advisory Committee to the Governing Council</t>
  </si>
  <si>
    <t>ECA Funds (received Dec 2015)</t>
  </si>
  <si>
    <t xml:space="preserve">                                               REGULAR BUDGET AND IDEP GENERATED RESOURCES THE BIENNIUM 2016-2017</t>
  </si>
  <si>
    <t>ACTIVITY</t>
  </si>
  <si>
    <t>UJ, BADEA, ISDB, ACBF, INP</t>
  </si>
  <si>
    <t>ECA Divisions, JFA Partners</t>
  </si>
  <si>
    <t>Visiting Tajudeen and other Research Fellowships</t>
  </si>
  <si>
    <t>Resource mobilisation</t>
  </si>
  <si>
    <t>SOURCES OF FUNDING FOR THE 2016-17 BIENNIUM</t>
  </si>
  <si>
    <t>SOURCES DE FINANCEMENT POUR LE PLAN DE TRAVAIL 2016-17</t>
  </si>
  <si>
    <t>Budget ordinaire</t>
  </si>
  <si>
    <t>1.300.000</t>
  </si>
  <si>
    <t>2.600.000</t>
  </si>
  <si>
    <t>Cotisations Etats mb. &amp; Autres</t>
  </si>
  <si>
    <t>1.850.000</t>
  </si>
  <si>
    <t>2.794.221</t>
  </si>
  <si>
    <t>Ressources extrabudgétaires</t>
  </si>
  <si>
    <t>3.411.100</t>
  </si>
  <si>
    <t>2.479.963</t>
  </si>
  <si>
    <t>5.891.063</t>
  </si>
  <si>
    <t>6.561.100</t>
  </si>
  <si>
    <t>4.724.184</t>
  </si>
  <si>
    <t>11.285.284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</si>
</sst>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00%"/>
  </numFmts>
  <fonts count="33" x14ac:knownFonts="1">
    <font>
      <sz val="10"/>
      <name val="Arial"/>
    </font>
    <font>
      <sz val="10"/>
      <name val="Arial"/>
      <family val="2"/>
    </font>
    <font>
      <b/>
      <sz val="18"/>
      <name val="Times New Roman"/>
      <family val="1"/>
    </font>
    <font>
      <sz val="11"/>
      <name val="Times New Roman"/>
      <family val="1"/>
    </font>
    <font>
      <b/>
      <sz val="12"/>
      <name val="Times New Roman"/>
      <family val="1"/>
    </font>
    <font>
      <sz val="10"/>
      <name val="Arial"/>
      <family val="2"/>
    </font>
    <font>
      <b/>
      <sz val="14"/>
      <name val="Times New Roman"/>
      <family val="1"/>
    </font>
    <font>
      <sz val="9"/>
      <name val="Arial"/>
      <family val="2"/>
    </font>
    <font>
      <b/>
      <sz val="9"/>
      <name val="Times New Roman"/>
      <family val="1"/>
    </font>
    <font>
      <b/>
      <sz val="9"/>
      <name val="Arial"/>
      <family val="2"/>
    </font>
    <font>
      <sz val="9"/>
      <name val="Times New Roman"/>
      <family val="1"/>
    </font>
    <font>
      <b/>
      <sz val="14"/>
      <name val="Arial"/>
      <family val="2"/>
    </font>
    <font>
      <b/>
      <sz val="16"/>
      <name val="Arial"/>
      <family val="2"/>
    </font>
    <font>
      <b/>
      <sz val="12"/>
      <name val="Arial"/>
      <family val="2"/>
    </font>
    <font>
      <sz val="16"/>
      <name val="Arial"/>
      <family val="2"/>
    </font>
    <font>
      <sz val="12"/>
      <name val="Arial"/>
      <family val="2"/>
    </font>
    <font>
      <sz val="1"/>
      <color indexed="8"/>
      <name val="Courier"/>
      <family val="3"/>
    </font>
    <font>
      <sz val="14"/>
      <name val="Arial"/>
      <family val="2"/>
    </font>
    <font>
      <sz val="12"/>
      <name val="Times New Roman"/>
      <family val="1"/>
    </font>
    <font>
      <sz val="14"/>
      <name val="Times New Roman"/>
      <family val="1"/>
    </font>
    <font>
      <b/>
      <sz val="10"/>
      <name val="Arial"/>
      <family val="2"/>
    </font>
    <font>
      <sz val="10"/>
      <name val="Arial"/>
      <family val="2"/>
    </font>
    <font>
      <b/>
      <sz val="11"/>
      <name val="Times New Roman"/>
      <family val="1"/>
    </font>
    <font>
      <sz val="8"/>
      <name val="Arial"/>
      <family val="2"/>
    </font>
    <font>
      <sz val="10"/>
      <color rgb="FFFF0000"/>
      <name val="Arial"/>
      <family val="2"/>
    </font>
    <font>
      <sz val="10"/>
      <color theme="1"/>
      <name val="Arial"/>
      <family val="2"/>
    </font>
    <font>
      <b/>
      <sz val="10"/>
      <color theme="1"/>
      <name val="Arial"/>
      <family val="2"/>
    </font>
    <font>
      <b/>
      <sz val="12"/>
      <color theme="1"/>
      <name val="Arial"/>
      <family val="2"/>
    </font>
    <font>
      <b/>
      <i/>
      <sz val="10"/>
      <color theme="1"/>
      <name val="Arial"/>
      <family val="2"/>
    </font>
    <font>
      <sz val="9"/>
      <color indexed="81"/>
      <name val="Tahoma"/>
      <family val="2"/>
    </font>
    <font>
      <b/>
      <sz val="9"/>
      <color indexed="81"/>
      <name val="Tahoma"/>
      <family val="2"/>
    </font>
    <font>
      <b/>
      <sz val="11"/>
      <name val="Garamond"/>
      <family val="1"/>
    </font>
    <font>
      <sz val="11"/>
      <name val="Garamond"/>
      <family val="1"/>
    </font>
  </fonts>
  <fills count="24">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gray125">
        <bgColor rgb="FFDFDFDF"/>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rgb="FFBFBFBF"/>
        <bgColor indexed="64"/>
      </patternFill>
    </fill>
    <fill>
      <patternFill patternType="solid">
        <fgColor rgb="FFFFFFFF"/>
        <bgColor indexed="64"/>
      </patternFill>
    </fill>
    <fill>
      <patternFill patternType="solid">
        <fgColor rgb="FFB8CCE4"/>
        <bgColor indexed="64"/>
      </patternFill>
    </fill>
  </fills>
  <borders count="84">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medium">
        <color indexed="64"/>
      </bottom>
      <diagonal/>
    </border>
    <border>
      <left/>
      <right style="medium">
        <color indexed="64"/>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medium">
        <color indexed="64"/>
      </left>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hair">
        <color auto="1"/>
      </top>
      <bottom style="thin">
        <color indexed="64"/>
      </bottom>
      <diagonal/>
    </border>
    <border>
      <left style="thin">
        <color auto="1"/>
      </left>
      <right style="thin">
        <color auto="1"/>
      </right>
      <top/>
      <bottom style="hair">
        <color auto="1"/>
      </bottom>
      <diagonal/>
    </border>
    <border>
      <left/>
      <right/>
      <top style="medium">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s>
  <cellStyleXfs count="11">
    <xf numFmtId="0" fontId="0" fillId="0" borderId="0"/>
    <xf numFmtId="0" fontId="16" fillId="0" borderId="0">
      <protection locked="0"/>
    </xf>
    <xf numFmtId="0" fontId="16" fillId="0" borderId="0">
      <protection locked="0"/>
    </xf>
    <xf numFmtId="0" fontId="16" fillId="0" borderId="0">
      <protection locked="0"/>
    </xf>
    <xf numFmtId="0" fontId="17" fillId="0" borderId="0" applyNumberFormat="0" applyFont="0" applyFill="0" applyBorder="0" applyAlignment="0" applyProtection="0"/>
    <xf numFmtId="0" fontId="17" fillId="0" borderId="0" applyNumberFormat="0" applyFont="0" applyFill="0" applyBorder="0" applyAlignment="0" applyProtection="0"/>
    <xf numFmtId="0" fontId="16" fillId="0" borderId="0">
      <protection locked="0"/>
    </xf>
    <xf numFmtId="0" fontId="16" fillId="0" borderId="0">
      <protection locked="0"/>
    </xf>
    <xf numFmtId="9" fontId="1"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cellStyleXfs>
  <cellXfs count="404">
    <xf numFmtId="0" fontId="0" fillId="0" borderId="0" xfId="0"/>
    <xf numFmtId="0" fontId="2" fillId="0" borderId="0" xfId="0" applyFont="1" applyAlignment="1">
      <alignment horizontal="center"/>
    </xf>
    <xf numFmtId="0" fontId="0" fillId="0" borderId="0" xfId="0" applyBorder="1"/>
    <xf numFmtId="0" fontId="7" fillId="0" borderId="0" xfId="0" applyFont="1"/>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4" fillId="0" borderId="0" xfId="0" applyFont="1" applyAlignment="1">
      <alignment vertical="center" wrapText="1"/>
    </xf>
    <xf numFmtId="0" fontId="0" fillId="0" borderId="0" xfId="0" applyAlignment="1">
      <alignment vertical="center" wrapText="1"/>
    </xf>
    <xf numFmtId="0" fontId="15" fillId="0" borderId="10" xfId="0" applyFont="1" applyBorder="1" applyAlignment="1">
      <alignment horizontal="center"/>
    </xf>
    <xf numFmtId="0" fontId="15" fillId="0" borderId="0" xfId="0" applyFont="1" applyBorder="1" applyAlignment="1">
      <alignment horizontal="center"/>
    </xf>
    <xf numFmtId="0" fontId="14" fillId="0" borderId="0" xfId="0" applyFont="1"/>
    <xf numFmtId="0" fontId="15" fillId="0" borderId="0" xfId="0" applyFont="1"/>
    <xf numFmtId="0" fontId="15" fillId="0" borderId="11" xfId="0" applyFont="1" applyBorder="1"/>
    <xf numFmtId="0" fontId="13" fillId="0" borderId="12" xfId="0" applyFont="1" applyBorder="1" applyAlignment="1">
      <alignment horizontal="center"/>
    </xf>
    <xf numFmtId="3" fontId="13" fillId="0" borderId="12" xfId="0" applyNumberFormat="1" applyFont="1" applyBorder="1"/>
    <xf numFmtId="0" fontId="12" fillId="0" borderId="13" xfId="0" applyFont="1" applyBorder="1" applyAlignment="1">
      <alignment horizontal="center"/>
    </xf>
    <xf numFmtId="0" fontId="12" fillId="0" borderId="0" xfId="0" applyFont="1" applyBorder="1" applyAlignment="1">
      <alignment horizontal="center"/>
    </xf>
    <xf numFmtId="3" fontId="12" fillId="0" borderId="13" xfId="0" applyNumberFormat="1" applyFont="1" applyBorder="1"/>
    <xf numFmtId="0" fontId="15" fillId="0" borderId="14" xfId="0" applyFont="1" applyBorder="1"/>
    <xf numFmtId="0" fontId="15" fillId="0" borderId="15" xfId="0" applyFont="1" applyBorder="1"/>
    <xf numFmtId="0" fontId="5" fillId="0" borderId="0" xfId="0" applyFont="1" applyFill="1" applyBorder="1" applyAlignment="1">
      <alignment vertical="center"/>
    </xf>
    <xf numFmtId="3" fontId="18" fillId="0" borderId="8" xfId="0" applyNumberFormat="1" applyFont="1" applyBorder="1" applyAlignment="1">
      <alignment vertical="center"/>
    </xf>
    <xf numFmtId="0" fontId="18" fillId="0" borderId="8" xfId="0" applyFont="1" applyBorder="1" applyAlignment="1">
      <alignment vertical="center"/>
    </xf>
    <xf numFmtId="0" fontId="18" fillId="0" borderId="7" xfId="0" applyFont="1" applyBorder="1" applyAlignment="1">
      <alignment horizontal="left" vertical="center"/>
    </xf>
    <xf numFmtId="0" fontId="0" fillId="0" borderId="0" xfId="0" applyFill="1" applyAlignment="1">
      <alignment vertical="center" wrapText="1"/>
    </xf>
    <xf numFmtId="0" fontId="13" fillId="0" borderId="8" xfId="0" applyFont="1" applyFill="1" applyBorder="1" applyAlignment="1">
      <alignment horizontal="center" vertical="center" wrapText="1"/>
    </xf>
    <xf numFmtId="9" fontId="13" fillId="2" borderId="8" xfId="9" applyFont="1" applyFill="1" applyBorder="1" applyAlignment="1">
      <alignment horizontal="center" vertical="center" wrapText="1"/>
    </xf>
    <xf numFmtId="0" fontId="20" fillId="0" borderId="0" xfId="0" applyFont="1"/>
    <xf numFmtId="0" fontId="21" fillId="0" borderId="0" xfId="0" applyFont="1"/>
    <xf numFmtId="0" fontId="0" fillId="0" borderId="1" xfId="0" applyBorder="1"/>
    <xf numFmtId="0" fontId="22" fillId="0" borderId="2" xfId="0" applyFont="1" applyBorder="1" applyAlignment="1">
      <alignment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0" fillId="0" borderId="4" xfId="0" applyFont="1" applyBorder="1" applyAlignment="1">
      <alignment vertical="center"/>
    </xf>
    <xf numFmtId="0" fontId="21" fillId="0" borderId="5" xfId="0" applyFont="1" applyBorder="1" applyAlignment="1">
      <alignment vertical="center"/>
    </xf>
    <xf numFmtId="0" fontId="20" fillId="0" borderId="5" xfId="0" applyFont="1" applyBorder="1" applyAlignment="1">
      <alignment horizontal="center" vertical="center"/>
    </xf>
    <xf numFmtId="0" fontId="21" fillId="0" borderId="4" xfId="0" applyFont="1" applyBorder="1" applyAlignment="1">
      <alignment vertical="center"/>
    </xf>
    <xf numFmtId="0" fontId="20" fillId="0" borderId="16" xfId="0" applyFont="1" applyBorder="1" applyAlignment="1">
      <alignment horizontal="center" vertical="center"/>
    </xf>
    <xf numFmtId="0" fontId="15" fillId="0" borderId="10" xfId="0" applyFont="1" applyBorder="1" applyAlignment="1">
      <alignment horizontal="center" vertical="center"/>
    </xf>
    <xf numFmtId="0" fontId="15" fillId="0" borderId="13" xfId="0" applyFont="1" applyBorder="1" applyAlignment="1">
      <alignment vertical="center"/>
    </xf>
    <xf numFmtId="0" fontId="15" fillId="0" borderId="0" xfId="0" applyFont="1" applyBorder="1" applyAlignment="1">
      <alignment horizontal="center" vertical="center"/>
    </xf>
    <xf numFmtId="3" fontId="15" fillId="0" borderId="13" xfId="0" applyNumberFormat="1" applyFont="1" applyBorder="1" applyAlignment="1">
      <alignment horizontal="center" vertical="center"/>
    </xf>
    <xf numFmtId="0" fontId="15" fillId="0" borderId="0" xfId="0" applyFont="1" applyBorder="1" applyAlignment="1">
      <alignment vertical="center"/>
    </xf>
    <xf numFmtId="3" fontId="15" fillId="0" borderId="13" xfId="0" applyNumberFormat="1" applyFont="1" applyBorder="1" applyAlignment="1">
      <alignment vertical="center"/>
    </xf>
    <xf numFmtId="0" fontId="15" fillId="0" borderId="13" xfId="0" applyFont="1" applyBorder="1" applyAlignment="1">
      <alignment horizontal="center" vertical="center"/>
    </xf>
    <xf numFmtId="3" fontId="15" fillId="0" borderId="18" xfId="0" applyNumberFormat="1" applyFont="1" applyBorder="1" applyAlignment="1">
      <alignment vertical="center"/>
    </xf>
    <xf numFmtId="0" fontId="15" fillId="0" borderId="10" xfId="0" applyFont="1" applyBorder="1" applyAlignment="1">
      <alignment vertical="center"/>
    </xf>
    <xf numFmtId="0" fontId="15" fillId="0" borderId="0" xfId="0" applyFont="1" applyAlignment="1">
      <alignment vertical="center"/>
    </xf>
    <xf numFmtId="0" fontId="0" fillId="0" borderId="0" xfId="0" applyAlignment="1">
      <alignment vertical="center"/>
    </xf>
    <xf numFmtId="3" fontId="0" fillId="0" borderId="0" xfId="0" applyNumberFormat="1"/>
    <xf numFmtId="0" fontId="10" fillId="0" borderId="24" xfId="0" applyFont="1" applyBorder="1" applyAlignment="1">
      <alignment horizontal="center" vertical="center"/>
    </xf>
    <xf numFmtId="0" fontId="10" fillId="0" borderId="25" xfId="0" applyFont="1" applyBorder="1" applyAlignment="1">
      <alignment vertical="center"/>
    </xf>
    <xf numFmtId="0" fontId="10" fillId="0" borderId="21" xfId="0" applyFont="1" applyBorder="1" applyAlignment="1">
      <alignment horizontal="center" vertical="center"/>
    </xf>
    <xf numFmtId="0" fontId="10" fillId="0" borderId="19" xfId="0" applyFont="1" applyBorder="1" applyAlignment="1">
      <alignment vertical="center"/>
    </xf>
    <xf numFmtId="0" fontId="7" fillId="0" borderId="19" xfId="0" applyFont="1" applyBorder="1" applyAlignment="1">
      <alignment vertical="center"/>
    </xf>
    <xf numFmtId="0" fontId="7" fillId="0" borderId="21" xfId="0" applyFont="1" applyBorder="1" applyAlignment="1">
      <alignment horizontal="center" vertical="center"/>
    </xf>
    <xf numFmtId="0" fontId="7" fillId="0" borderId="26" xfId="0" applyFont="1" applyBorder="1" applyAlignment="1">
      <alignment horizontal="center" vertical="center"/>
    </xf>
    <xf numFmtId="0" fontId="10" fillId="0" borderId="27" xfId="0" applyFont="1" applyBorder="1" applyAlignment="1">
      <alignment vertical="center"/>
    </xf>
    <xf numFmtId="0" fontId="7" fillId="0" borderId="28" xfId="0" applyFont="1" applyBorder="1" applyAlignment="1">
      <alignment vertical="center"/>
    </xf>
    <xf numFmtId="0" fontId="8" fillId="0" borderId="29" xfId="0" applyFont="1" applyBorder="1" applyAlignment="1">
      <alignment horizontal="center" vertical="center"/>
    </xf>
    <xf numFmtId="3" fontId="9" fillId="0" borderId="29" xfId="0" applyNumberFormat="1" applyFont="1" applyBorder="1" applyAlignment="1">
      <alignment horizontal="right" vertical="center"/>
    </xf>
    <xf numFmtId="3" fontId="7" fillId="3" borderId="25" xfId="0" applyNumberFormat="1" applyFont="1" applyFill="1" applyBorder="1" applyAlignment="1">
      <alignment horizontal="right" vertical="center"/>
    </xf>
    <xf numFmtId="3" fontId="10" fillId="3" borderId="25" xfId="0" applyNumberFormat="1" applyFont="1" applyFill="1" applyBorder="1" applyAlignment="1">
      <alignment horizontal="right" vertical="center"/>
    </xf>
    <xf numFmtId="3" fontId="7" fillId="3" borderId="19" xfId="0" applyNumberFormat="1" applyFont="1" applyFill="1" applyBorder="1" applyAlignment="1">
      <alignment horizontal="right" vertical="center"/>
    </xf>
    <xf numFmtId="3" fontId="7" fillId="3" borderId="27" xfId="0" applyNumberFormat="1" applyFont="1" applyFill="1" applyBorder="1" applyAlignment="1">
      <alignment horizontal="right" vertical="center"/>
    </xf>
    <xf numFmtId="3" fontId="9" fillId="4" borderId="29" xfId="0" applyNumberFormat="1" applyFont="1" applyFill="1" applyBorder="1" applyAlignment="1">
      <alignment horizontal="right" vertical="center"/>
    </xf>
    <xf numFmtId="0" fontId="8" fillId="4" borderId="34"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0" fontId="20" fillId="0" borderId="0" xfId="0" applyFont="1" applyBorder="1"/>
    <xf numFmtId="0" fontId="10" fillId="0" borderId="19" xfId="0" applyFont="1" applyBorder="1" applyAlignment="1">
      <alignment vertical="center" wrapText="1"/>
    </xf>
    <xf numFmtId="0" fontId="8" fillId="4" borderId="39"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41" xfId="0" applyFont="1" applyFill="1" applyBorder="1" applyAlignment="1">
      <alignment horizontal="center" vertical="center"/>
    </xf>
    <xf numFmtId="3" fontId="9" fillId="4" borderId="28" xfId="0" applyNumberFormat="1" applyFont="1" applyFill="1" applyBorder="1" applyAlignment="1">
      <alignment horizontal="right" vertical="center"/>
    </xf>
    <xf numFmtId="0" fontId="20" fillId="0" borderId="0" xfId="0" applyFont="1" applyAlignment="1">
      <alignment vertical="center"/>
    </xf>
    <xf numFmtId="0" fontId="13" fillId="0" borderId="0" xfId="0" applyFont="1" applyAlignment="1">
      <alignment vertical="center"/>
    </xf>
    <xf numFmtId="0" fontId="0" fillId="0" borderId="0" xfId="0" applyFill="1" applyAlignment="1">
      <alignment vertical="center"/>
    </xf>
    <xf numFmtId="3" fontId="0" fillId="0" borderId="0" xfId="0" applyNumberFormat="1" applyAlignment="1">
      <alignment vertical="center"/>
    </xf>
    <xf numFmtId="0" fontId="18" fillId="3" borderId="8" xfId="0" applyFont="1" applyFill="1" applyBorder="1" applyAlignment="1">
      <alignment vertical="center"/>
    </xf>
    <xf numFmtId="3" fontId="18" fillId="3" borderId="8" xfId="0" applyNumberFormat="1" applyFont="1" applyFill="1" applyBorder="1" applyAlignment="1">
      <alignment vertical="center"/>
    </xf>
    <xf numFmtId="0" fontId="18" fillId="3" borderId="7" xfId="0" applyFont="1" applyFill="1" applyBorder="1" applyAlignment="1">
      <alignment horizontal="left" vertical="center"/>
    </xf>
    <xf numFmtId="0" fontId="6" fillId="5" borderId="7" xfId="0" applyFont="1" applyFill="1" applyBorder="1" applyAlignment="1">
      <alignment horizontal="right" vertical="center"/>
    </xf>
    <xf numFmtId="0" fontId="6" fillId="5" borderId="8" xfId="0" applyFont="1" applyFill="1" applyBorder="1" applyAlignment="1">
      <alignment vertical="center"/>
    </xf>
    <xf numFmtId="3" fontId="6" fillId="5" borderId="8" xfId="0" applyNumberFormat="1" applyFont="1" applyFill="1" applyBorder="1" applyAlignment="1">
      <alignment vertical="center"/>
    </xf>
    <xf numFmtId="0" fontId="18" fillId="0" borderId="7" xfId="0" applyFont="1" applyBorder="1" applyAlignment="1">
      <alignment horizontal="left" vertical="center" wrapText="1"/>
    </xf>
    <xf numFmtId="10" fontId="0" fillId="0" borderId="0" xfId="8" applyNumberFormat="1" applyFont="1"/>
    <xf numFmtId="3" fontId="0" fillId="8" borderId="0" xfId="0" applyNumberFormat="1" applyFill="1"/>
    <xf numFmtId="3" fontId="0" fillId="6" borderId="0" xfId="0" applyNumberFormat="1" applyFill="1"/>
    <xf numFmtId="3" fontId="0" fillId="7" borderId="0" xfId="0" applyNumberFormat="1" applyFill="1"/>
    <xf numFmtId="3" fontId="0" fillId="9" borderId="0" xfId="0" applyNumberFormat="1" applyFill="1"/>
    <xf numFmtId="9" fontId="0" fillId="0" borderId="0" xfId="8" applyNumberFormat="1" applyFont="1"/>
    <xf numFmtId="0" fontId="4" fillId="10" borderId="16" xfId="0" applyFont="1" applyFill="1" applyBorder="1" applyAlignment="1">
      <alignment horizontal="center" vertical="center" wrapText="1"/>
    </xf>
    <xf numFmtId="0" fontId="4" fillId="10" borderId="49" xfId="0" applyFont="1" applyFill="1" applyBorder="1" applyAlignment="1">
      <alignment horizontal="center" vertical="center" wrapText="1"/>
    </xf>
    <xf numFmtId="0" fontId="18" fillId="0" borderId="46" xfId="0" applyFont="1" applyBorder="1" applyAlignment="1">
      <alignment vertical="center" wrapText="1"/>
    </xf>
    <xf numFmtId="0" fontId="4" fillId="0" borderId="50" xfId="0" applyFont="1" applyBorder="1" applyAlignment="1">
      <alignment horizontal="center" vertical="center" wrapText="1"/>
    </xf>
    <xf numFmtId="0" fontId="4" fillId="0" borderId="51" xfId="0" applyFont="1" applyBorder="1" applyAlignment="1">
      <alignment horizontal="right" vertical="center" wrapText="1"/>
    </xf>
    <xf numFmtId="0" fontId="4" fillId="0" borderId="52" xfId="0" applyFont="1" applyBorder="1" applyAlignment="1">
      <alignment horizontal="right" vertical="center" wrapText="1"/>
    </xf>
    <xf numFmtId="164" fontId="18" fillId="0" borderId="16" xfId="10" applyNumberFormat="1" applyFont="1" applyBorder="1" applyAlignment="1">
      <alignment horizontal="right" vertical="center" wrapText="1"/>
    </xf>
    <xf numFmtId="164" fontId="4" fillId="0" borderId="51" xfId="0" applyNumberFormat="1" applyFont="1" applyBorder="1" applyAlignment="1">
      <alignment horizontal="right" vertical="center" wrapText="1"/>
    </xf>
    <xf numFmtId="164" fontId="4" fillId="0" borderId="51" xfId="10" applyNumberFormat="1" applyFont="1" applyBorder="1" applyAlignment="1">
      <alignment horizontal="right" vertical="center" wrapText="1"/>
    </xf>
    <xf numFmtId="0" fontId="22" fillId="0" borderId="4" xfId="0" applyFont="1" applyBorder="1" applyAlignment="1">
      <alignment horizontal="center" vertical="center"/>
    </xf>
    <xf numFmtId="0" fontId="1" fillId="0" borderId="0" xfId="0" applyFont="1"/>
    <xf numFmtId="0" fontId="0" fillId="3" borderId="0" xfId="0" applyFill="1"/>
    <xf numFmtId="0" fontId="20" fillId="3" borderId="0" xfId="0" applyFont="1" applyFill="1"/>
    <xf numFmtId="0" fontId="20" fillId="3" borderId="55" xfId="0" applyFont="1" applyFill="1" applyBorder="1"/>
    <xf numFmtId="0" fontId="20" fillId="3" borderId="56" xfId="0" applyFont="1" applyFill="1" applyBorder="1"/>
    <xf numFmtId="0" fontId="20" fillId="3" borderId="28" xfId="0" applyFont="1" applyFill="1" applyBorder="1"/>
    <xf numFmtId="0" fontId="20" fillId="11" borderId="57" xfId="0" applyFont="1" applyFill="1" applyBorder="1"/>
    <xf numFmtId="164" fontId="20" fillId="11" borderId="57" xfId="0" applyNumberFormat="1" applyFont="1" applyFill="1" applyBorder="1"/>
    <xf numFmtId="164" fontId="20" fillId="3" borderId="58" xfId="10" applyNumberFormat="1" applyFont="1" applyFill="1" applyBorder="1"/>
    <xf numFmtId="164" fontId="20" fillId="3" borderId="7" xfId="10" applyNumberFormat="1" applyFont="1" applyFill="1" applyBorder="1"/>
    <xf numFmtId="164" fontId="20" fillId="3" borderId="38" xfId="10" applyNumberFormat="1" applyFont="1" applyFill="1" applyBorder="1"/>
    <xf numFmtId="9" fontId="20" fillId="11" borderId="57" xfId="0" applyNumberFormat="1" applyFont="1" applyFill="1" applyBorder="1" applyAlignment="1">
      <alignment horizontal="center"/>
    </xf>
    <xf numFmtId="9" fontId="20" fillId="3" borderId="59" xfId="8" applyFont="1" applyFill="1" applyBorder="1" applyAlignment="1">
      <alignment horizontal="center"/>
    </xf>
    <xf numFmtId="9" fontId="20" fillId="3" borderId="60" xfId="8" applyFont="1" applyFill="1" applyBorder="1" applyAlignment="1">
      <alignment horizontal="center"/>
    </xf>
    <xf numFmtId="9" fontId="20" fillId="3" borderId="61" xfId="8" applyFont="1" applyFill="1" applyBorder="1" applyAlignment="1">
      <alignment horizontal="center"/>
    </xf>
    <xf numFmtId="3" fontId="20" fillId="11" borderId="57" xfId="0" applyNumberFormat="1" applyFont="1" applyFill="1" applyBorder="1"/>
    <xf numFmtId="1" fontId="15" fillId="0" borderId="13" xfId="0" applyNumberFormat="1" applyFont="1" applyBorder="1" applyAlignment="1">
      <alignment horizontal="center" vertical="center"/>
    </xf>
    <xf numFmtId="3" fontId="21" fillId="0" borderId="0" xfId="0" applyNumberFormat="1" applyFont="1" applyFill="1"/>
    <xf numFmtId="3" fontId="0" fillId="0" borderId="0" xfId="0" applyNumberFormat="1" applyFill="1"/>
    <xf numFmtId="3" fontId="20" fillId="0" borderId="0" xfId="0" applyNumberFormat="1" applyFont="1" applyFill="1"/>
    <xf numFmtId="3" fontId="10" fillId="4" borderId="30" xfId="0" applyNumberFormat="1" applyFont="1" applyFill="1" applyBorder="1" applyAlignment="1">
      <alignment horizontal="right" vertical="center"/>
    </xf>
    <xf numFmtId="3" fontId="10" fillId="4" borderId="20" xfId="0" applyNumberFormat="1" applyFont="1" applyFill="1" applyBorder="1" applyAlignment="1">
      <alignment horizontal="right" vertical="center" wrapText="1"/>
    </xf>
    <xf numFmtId="3" fontId="7" fillId="4" borderId="20" xfId="0" applyNumberFormat="1" applyFont="1" applyFill="1" applyBorder="1" applyAlignment="1">
      <alignment horizontal="right" vertical="center"/>
    </xf>
    <xf numFmtId="3" fontId="7" fillId="4" borderId="31" xfId="0" applyNumberFormat="1" applyFont="1" applyFill="1" applyBorder="1" applyAlignment="1">
      <alignment horizontal="right" vertical="center"/>
    </xf>
    <xf numFmtId="0" fontId="9" fillId="4" borderId="35" xfId="0" applyFont="1" applyFill="1" applyBorder="1" applyAlignment="1">
      <alignment horizontal="center" vertical="center"/>
    </xf>
    <xf numFmtId="0" fontId="9" fillId="4" borderId="6" xfId="0" applyFont="1" applyFill="1" applyBorder="1" applyAlignment="1">
      <alignment horizontal="center" vertical="center"/>
    </xf>
    <xf numFmtId="0" fontId="8" fillId="3" borderId="34"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36" xfId="0" applyFont="1" applyFill="1" applyBorder="1" applyAlignment="1">
      <alignment horizontal="center" vertical="center"/>
    </xf>
    <xf numFmtId="3" fontId="10" fillId="12" borderId="25" xfId="0" applyNumberFormat="1" applyFont="1" applyFill="1" applyBorder="1" applyAlignment="1">
      <alignment horizontal="right" vertical="center"/>
    </xf>
    <xf numFmtId="3" fontId="10" fillId="12" borderId="19" xfId="0" applyNumberFormat="1" applyFont="1" applyFill="1" applyBorder="1" applyAlignment="1">
      <alignment horizontal="right" vertical="center" wrapText="1"/>
    </xf>
    <xf numFmtId="3" fontId="7" fillId="12" borderId="19" xfId="0" applyNumberFormat="1" applyFont="1" applyFill="1" applyBorder="1" applyAlignment="1">
      <alignment horizontal="right" vertical="center"/>
    </xf>
    <xf numFmtId="3" fontId="7" fillId="12" borderId="27" xfId="0" applyNumberFormat="1" applyFont="1" applyFill="1" applyBorder="1" applyAlignment="1">
      <alignment horizontal="right" vertical="center"/>
    </xf>
    <xf numFmtId="3" fontId="3" fillId="13" borderId="32" xfId="0" applyNumberFormat="1" applyFont="1" applyFill="1" applyBorder="1" applyAlignment="1">
      <alignment horizontal="right" vertical="center"/>
    </xf>
    <xf numFmtId="3" fontId="3" fillId="13" borderId="22" xfId="0" applyNumberFormat="1" applyFont="1" applyFill="1" applyBorder="1" applyAlignment="1">
      <alignment horizontal="right" vertical="center"/>
    </xf>
    <xf numFmtId="3" fontId="21" fillId="13" borderId="22" xfId="0" applyNumberFormat="1" applyFont="1" applyFill="1" applyBorder="1" applyAlignment="1">
      <alignment horizontal="right" vertical="center"/>
    </xf>
    <xf numFmtId="0" fontId="21" fillId="13" borderId="22" xfId="0" applyFont="1" applyFill="1" applyBorder="1" applyAlignment="1">
      <alignment horizontal="right" vertical="center"/>
    </xf>
    <xf numFmtId="3" fontId="10" fillId="12" borderId="19" xfId="0" applyNumberFormat="1" applyFont="1" applyFill="1" applyBorder="1" applyAlignment="1">
      <alignment horizontal="right" vertical="center"/>
    </xf>
    <xf numFmtId="3" fontId="3" fillId="12" borderId="19" xfId="0" applyNumberFormat="1" applyFont="1" applyFill="1" applyBorder="1" applyAlignment="1">
      <alignment vertical="center"/>
    </xf>
    <xf numFmtId="3" fontId="10" fillId="4" borderId="20" xfId="0" applyNumberFormat="1" applyFont="1" applyFill="1" applyBorder="1" applyAlignment="1">
      <alignment horizontal="right" vertical="center"/>
    </xf>
    <xf numFmtId="3" fontId="3" fillId="4" borderId="20" xfId="0" applyNumberFormat="1" applyFont="1" applyFill="1" applyBorder="1" applyAlignment="1">
      <alignment vertical="center"/>
    </xf>
    <xf numFmtId="3" fontId="4" fillId="0" borderId="29" xfId="0" applyNumberFormat="1" applyFont="1" applyBorder="1" applyAlignment="1">
      <alignment horizontal="right" vertical="center"/>
    </xf>
    <xf numFmtId="3" fontId="4" fillId="0" borderId="17" xfId="0" applyNumberFormat="1" applyFont="1" applyBorder="1" applyAlignment="1">
      <alignment vertical="center"/>
    </xf>
    <xf numFmtId="0" fontId="23" fillId="0" borderId="0" xfId="0" applyFont="1"/>
    <xf numFmtId="3" fontId="23" fillId="0" borderId="0" xfId="0" applyNumberFormat="1" applyFont="1"/>
    <xf numFmtId="164" fontId="0" fillId="0" borderId="0" xfId="10" applyNumberFormat="1" applyFont="1"/>
    <xf numFmtId="164" fontId="1" fillId="0" borderId="0" xfId="10" applyNumberFormat="1" applyFont="1"/>
    <xf numFmtId="164" fontId="24" fillId="0" borderId="0" xfId="10" applyNumberFormat="1" applyFont="1" applyFill="1"/>
    <xf numFmtId="164" fontId="0" fillId="0" borderId="0" xfId="0" applyNumberFormat="1"/>
    <xf numFmtId="43" fontId="0" fillId="0" borderId="0" xfId="0" applyNumberFormat="1"/>
    <xf numFmtId="0" fontId="23" fillId="0" borderId="0" xfId="0" applyFont="1" applyAlignment="1">
      <alignment vertical="center"/>
    </xf>
    <xf numFmtId="0" fontId="23" fillId="0" borderId="0" xfId="0" applyFont="1" applyFill="1"/>
    <xf numFmtId="3" fontId="8" fillId="9" borderId="25" xfId="0" applyNumberFormat="1" applyFont="1" applyFill="1" applyBorder="1" applyAlignment="1">
      <alignment vertical="center"/>
    </xf>
    <xf numFmtId="3" fontId="8" fillId="9" borderId="19" xfId="0" applyNumberFormat="1" applyFont="1" applyFill="1" applyBorder="1" applyAlignment="1">
      <alignment vertical="center"/>
    </xf>
    <xf numFmtId="0" fontId="25" fillId="5" borderId="7" xfId="0" applyFont="1" applyFill="1" applyBorder="1"/>
    <xf numFmtId="0" fontId="25" fillId="5" borderId="9" xfId="0" applyFont="1" applyFill="1" applyBorder="1"/>
    <xf numFmtId="0" fontId="26" fillId="5" borderId="9" xfId="0" applyFont="1" applyFill="1" applyBorder="1" applyAlignment="1">
      <alignment horizontal="center"/>
    </xf>
    <xf numFmtId="0" fontId="26" fillId="5" borderId="23" xfId="0" applyFont="1" applyFill="1" applyBorder="1" applyAlignment="1">
      <alignment horizontal="center"/>
    </xf>
    <xf numFmtId="0" fontId="25" fillId="0" borderId="0" xfId="0" applyFont="1"/>
    <xf numFmtId="0" fontId="27" fillId="4" borderId="7" xfId="0" applyFont="1" applyFill="1" applyBorder="1"/>
    <xf numFmtId="0" fontId="25" fillId="4" borderId="9" xfId="0" applyFont="1" applyFill="1" applyBorder="1"/>
    <xf numFmtId="0" fontId="25" fillId="4" borderId="23" xfId="0" applyFont="1" applyFill="1" applyBorder="1"/>
    <xf numFmtId="0" fontId="25" fillId="0" borderId="64" xfId="0" applyFont="1" applyBorder="1"/>
    <xf numFmtId="0" fontId="25" fillId="0" borderId="64" xfId="0" applyFont="1" applyBorder="1" applyAlignment="1">
      <alignment horizontal="center"/>
    </xf>
    <xf numFmtId="0" fontId="26" fillId="5" borderId="8" xfId="0" applyFont="1" applyFill="1" applyBorder="1" applyAlignment="1">
      <alignment horizontal="center"/>
    </xf>
    <xf numFmtId="0" fontId="25" fillId="0" borderId="10" xfId="0" applyFont="1" applyBorder="1"/>
    <xf numFmtId="0" fontId="25" fillId="0" borderId="0" xfId="0" applyFont="1" applyBorder="1"/>
    <xf numFmtId="0" fontId="25" fillId="0" borderId="0" xfId="0" applyFont="1" applyBorder="1" applyAlignment="1">
      <alignment horizontal="center"/>
    </xf>
    <xf numFmtId="0" fontId="28" fillId="14" borderId="7" xfId="0" applyFont="1" applyFill="1" applyBorder="1"/>
    <xf numFmtId="0" fontId="25" fillId="14" borderId="9" xfId="0" applyFont="1" applyFill="1" applyBorder="1"/>
    <xf numFmtId="0" fontId="25" fillId="14" borderId="64" xfId="0" applyFont="1" applyFill="1" applyBorder="1"/>
    <xf numFmtId="0" fontId="25" fillId="14" borderId="65" xfId="0" applyFont="1" applyFill="1" applyBorder="1"/>
    <xf numFmtId="164" fontId="25" fillId="0" borderId="0" xfId="10" applyNumberFormat="1" applyFont="1" applyBorder="1" applyAlignment="1">
      <alignment horizontal="center"/>
    </xf>
    <xf numFmtId="0" fontId="25" fillId="0" borderId="7" xfId="0" applyFont="1" applyBorder="1"/>
    <xf numFmtId="0" fontId="25" fillId="0" borderId="9" xfId="0" applyFont="1" applyBorder="1"/>
    <xf numFmtId="0" fontId="25" fillId="0" borderId="8" xfId="0" applyFont="1" applyBorder="1" applyAlignment="1">
      <alignment horizontal="center"/>
    </xf>
    <xf numFmtId="164" fontId="25" fillId="0" borderId="8" xfId="10" applyNumberFormat="1" applyFont="1" applyBorder="1" applyAlignment="1">
      <alignment horizontal="center"/>
    </xf>
    <xf numFmtId="0" fontId="25" fillId="0" borderId="11" xfId="0" applyFont="1" applyBorder="1" applyAlignment="1">
      <alignment horizontal="center"/>
    </xf>
    <xf numFmtId="164" fontId="25" fillId="0" borderId="11" xfId="10" applyNumberFormat="1" applyFont="1" applyBorder="1" applyAlignment="1">
      <alignment horizontal="center"/>
    </xf>
    <xf numFmtId="0" fontId="25" fillId="0" borderId="8" xfId="0" applyFont="1" applyBorder="1" applyAlignment="1">
      <alignment horizontal="center" vertical="center"/>
    </xf>
    <xf numFmtId="164" fontId="25" fillId="0" borderId="8" xfId="10" applyNumberFormat="1" applyFont="1" applyBorder="1" applyAlignment="1">
      <alignment horizontal="center" vertical="center"/>
    </xf>
    <xf numFmtId="0" fontId="25" fillId="0" borderId="11" xfId="0" applyFont="1" applyBorder="1" applyAlignment="1">
      <alignment horizontal="center" vertical="center"/>
    </xf>
    <xf numFmtId="164" fontId="25" fillId="0" borderId="11" xfId="10" applyNumberFormat="1" applyFont="1" applyBorder="1" applyAlignment="1">
      <alignment horizontal="center" vertical="center"/>
    </xf>
    <xf numFmtId="0" fontId="27" fillId="4" borderId="7" xfId="0" applyFont="1" applyFill="1" applyBorder="1" applyAlignment="1">
      <alignment horizontal="left" vertical="center"/>
    </xf>
    <xf numFmtId="0" fontId="25" fillId="0" borderId="12" xfId="0" applyFont="1" applyBorder="1" applyAlignment="1">
      <alignment horizontal="center"/>
    </xf>
    <xf numFmtId="164" fontId="25" fillId="0" borderId="12" xfId="10" applyNumberFormat="1" applyFont="1" applyBorder="1" applyAlignment="1">
      <alignment horizontal="center"/>
    </xf>
    <xf numFmtId="0" fontId="25" fillId="0" borderId="14" xfId="0" applyFont="1" applyBorder="1"/>
    <xf numFmtId="0" fontId="25" fillId="0" borderId="15" xfId="0" applyFont="1" applyBorder="1"/>
    <xf numFmtId="164" fontId="25" fillId="0" borderId="23" xfId="10" applyNumberFormat="1" applyFont="1" applyBorder="1" applyAlignment="1">
      <alignment horizontal="center"/>
    </xf>
    <xf numFmtId="0" fontId="25" fillId="14" borderId="23" xfId="0" applyFont="1" applyFill="1" applyBorder="1"/>
    <xf numFmtId="0" fontId="25" fillId="0" borderId="15" xfId="0" applyFont="1" applyBorder="1" applyAlignment="1">
      <alignment horizontal="center"/>
    </xf>
    <xf numFmtId="164" fontId="25" fillId="0" borderId="15" xfId="10" applyNumberFormat="1" applyFont="1" applyBorder="1" applyAlignment="1">
      <alignment horizontal="center"/>
    </xf>
    <xf numFmtId="0" fontId="25" fillId="0" borderId="64" xfId="0" applyFont="1" applyFill="1" applyBorder="1" applyAlignment="1">
      <alignment horizontal="center" vertical="center"/>
    </xf>
    <xf numFmtId="164" fontId="25" fillId="0" borderId="12" xfId="10" applyNumberFormat="1" applyFont="1" applyFill="1" applyBorder="1" applyAlignment="1">
      <alignment horizontal="center" vertical="center"/>
    </xf>
    <xf numFmtId="164" fontId="25" fillId="0" borderId="65" xfId="10" applyNumberFormat="1" applyFont="1" applyFill="1" applyBorder="1" applyAlignment="1">
      <alignment horizontal="center" vertical="center"/>
    </xf>
    <xf numFmtId="0" fontId="25" fillId="0" borderId="13" xfId="0" applyFont="1" applyBorder="1" applyAlignment="1">
      <alignment horizontal="center" vertical="center"/>
    </xf>
    <xf numFmtId="0" fontId="25" fillId="0" borderId="13" xfId="0" applyFont="1" applyFill="1" applyBorder="1" applyAlignment="1">
      <alignment horizontal="center" vertical="center"/>
    </xf>
    <xf numFmtId="164" fontId="25" fillId="0" borderId="13" xfId="10" applyNumberFormat="1" applyFont="1" applyFill="1" applyBorder="1" applyAlignment="1">
      <alignment horizontal="center" vertical="center"/>
    </xf>
    <xf numFmtId="0" fontId="25" fillId="0" borderId="13" xfId="0" applyFont="1" applyBorder="1" applyAlignment="1">
      <alignment horizontal="center"/>
    </xf>
    <xf numFmtId="164" fontId="25" fillId="0" borderId="13" xfId="10" applyNumberFormat="1" applyFont="1" applyFill="1" applyBorder="1" applyAlignment="1">
      <alignment horizontal="center"/>
    </xf>
    <xf numFmtId="164" fontId="25" fillId="0" borderId="13" xfId="10" applyNumberFormat="1" applyFont="1" applyBorder="1" applyAlignment="1">
      <alignment horizontal="center" vertical="center"/>
    </xf>
    <xf numFmtId="0" fontId="26" fillId="15" borderId="7" xfId="0" applyFont="1" applyFill="1" applyBorder="1"/>
    <xf numFmtId="0" fontId="25" fillId="15" borderId="9" xfId="0" applyFont="1" applyFill="1" applyBorder="1"/>
    <xf numFmtId="0" fontId="26" fillId="15" borderId="8" xfId="0" applyFont="1" applyFill="1" applyBorder="1" applyAlignment="1">
      <alignment horizontal="center"/>
    </xf>
    <xf numFmtId="164" fontId="26" fillId="15" borderId="8" xfId="10" applyNumberFormat="1" applyFont="1" applyFill="1" applyBorder="1" applyAlignment="1">
      <alignment horizontal="center"/>
    </xf>
    <xf numFmtId="0" fontId="25" fillId="15" borderId="8" xfId="0" applyFont="1" applyFill="1" applyBorder="1" applyAlignment="1">
      <alignment horizontal="center"/>
    </xf>
    <xf numFmtId="0" fontId="25" fillId="0" borderId="0" xfId="0" applyFont="1" applyAlignment="1">
      <alignment horizontal="center"/>
    </xf>
    <xf numFmtId="0" fontId="25" fillId="0" borderId="65" xfId="0" applyFont="1" applyBorder="1" applyAlignment="1">
      <alignment horizontal="center" vertical="center"/>
    </xf>
    <xf numFmtId="3" fontId="10" fillId="12" borderId="27" xfId="0" applyNumberFormat="1" applyFont="1" applyFill="1" applyBorder="1" applyAlignment="1">
      <alignment horizontal="right" vertical="center"/>
    </xf>
    <xf numFmtId="3" fontId="10" fillId="4" borderId="63" xfId="0" applyNumberFormat="1" applyFont="1" applyFill="1" applyBorder="1" applyAlignment="1">
      <alignment horizontal="right" vertical="center"/>
    </xf>
    <xf numFmtId="3" fontId="10" fillId="13" borderId="32" xfId="0" applyNumberFormat="1" applyFont="1" applyFill="1" applyBorder="1" applyAlignment="1">
      <alignment horizontal="right" vertical="center"/>
    </xf>
    <xf numFmtId="3" fontId="10" fillId="13" borderId="22" xfId="0" applyNumberFormat="1" applyFont="1" applyFill="1" applyBorder="1" applyAlignment="1">
      <alignment horizontal="right" vertical="center"/>
    </xf>
    <xf numFmtId="0" fontId="10" fillId="13" borderId="22" xfId="0" applyFont="1" applyFill="1" applyBorder="1" applyAlignment="1">
      <alignment horizontal="right" vertical="center"/>
    </xf>
    <xf numFmtId="3" fontId="10" fillId="13" borderId="33" xfId="0" applyNumberFormat="1" applyFont="1" applyFill="1" applyBorder="1" applyAlignment="1">
      <alignment horizontal="right" vertical="center"/>
    </xf>
    <xf numFmtId="3" fontId="4" fillId="0" borderId="16" xfId="0" applyNumberFormat="1" applyFont="1" applyBorder="1" applyAlignment="1">
      <alignment horizontal="right" vertical="center"/>
    </xf>
    <xf numFmtId="0" fontId="10" fillId="0" borderId="26" xfId="0" applyFont="1" applyBorder="1" applyAlignment="1">
      <alignment horizontal="center" vertical="center"/>
    </xf>
    <xf numFmtId="3" fontId="23" fillId="0" borderId="0" xfId="0" applyNumberFormat="1" applyFont="1" applyFill="1"/>
    <xf numFmtId="0" fontId="0" fillId="0" borderId="0" xfId="0" applyFill="1"/>
    <xf numFmtId="3" fontId="7" fillId="13" borderId="22" xfId="0" applyNumberFormat="1" applyFont="1" applyFill="1" applyBorder="1" applyAlignment="1">
      <alignment horizontal="right" vertical="center"/>
    </xf>
    <xf numFmtId="0" fontId="20" fillId="5" borderId="44" xfId="0" applyFont="1" applyFill="1" applyBorder="1" applyAlignment="1">
      <alignment horizontal="center"/>
    </xf>
    <xf numFmtId="0" fontId="20" fillId="5" borderId="62" xfId="0" applyFont="1" applyFill="1" applyBorder="1" applyAlignment="1">
      <alignment horizontal="center"/>
    </xf>
    <xf numFmtId="3" fontId="9" fillId="0" borderId="36" xfId="0" applyNumberFormat="1" applyFont="1" applyBorder="1" applyAlignment="1">
      <alignment horizontal="right" vertical="center"/>
    </xf>
    <xf numFmtId="3" fontId="9" fillId="0" borderId="42" xfId="0" applyNumberFormat="1" applyFont="1" applyBorder="1" applyAlignment="1">
      <alignment horizontal="right" vertical="center"/>
    </xf>
    <xf numFmtId="3" fontId="10" fillId="3" borderId="19" xfId="0" applyNumberFormat="1" applyFont="1" applyFill="1" applyBorder="1" applyAlignment="1">
      <alignment horizontal="right" vertical="center"/>
    </xf>
    <xf numFmtId="3" fontId="10" fillId="3" borderId="68" xfId="0" applyNumberFormat="1" applyFont="1" applyFill="1" applyBorder="1" applyAlignment="1">
      <alignment horizontal="right" vertical="center"/>
    </xf>
    <xf numFmtId="3" fontId="10" fillId="3" borderId="69" xfId="0" applyNumberFormat="1" applyFont="1" applyFill="1" applyBorder="1" applyAlignment="1">
      <alignment horizontal="right" vertical="center"/>
    </xf>
    <xf numFmtId="3" fontId="10" fillId="4" borderId="70" xfId="0" applyNumberFormat="1" applyFont="1" applyFill="1" applyBorder="1" applyAlignment="1">
      <alignment horizontal="right" vertical="center"/>
    </xf>
    <xf numFmtId="3" fontId="10" fillId="4" borderId="71" xfId="0" applyNumberFormat="1" applyFont="1" applyFill="1" applyBorder="1" applyAlignment="1">
      <alignment horizontal="right" vertical="center"/>
    </xf>
    <xf numFmtId="3" fontId="7" fillId="4" borderId="72" xfId="0" applyNumberFormat="1" applyFont="1" applyFill="1" applyBorder="1" applyAlignment="1">
      <alignment horizontal="right" vertical="center"/>
    </xf>
    <xf numFmtId="3" fontId="7" fillId="4" borderId="73" xfId="0" applyNumberFormat="1" applyFont="1" applyFill="1" applyBorder="1" applyAlignment="1">
      <alignment horizontal="right" vertical="center"/>
    </xf>
    <xf numFmtId="0" fontId="0" fillId="3" borderId="0" xfId="0" applyFill="1" applyBorder="1"/>
    <xf numFmtId="3" fontId="15" fillId="0" borderId="0" xfId="0" applyNumberFormat="1" applyFont="1" applyAlignment="1">
      <alignment vertical="center"/>
    </xf>
    <xf numFmtId="0" fontId="4" fillId="0" borderId="7" xfId="0" applyFont="1" applyFill="1" applyBorder="1" applyAlignment="1">
      <alignment horizontal="left" vertical="center" wrapText="1"/>
    </xf>
    <xf numFmtId="0" fontId="4" fillId="3" borderId="8" xfId="0" applyFont="1" applyFill="1" applyBorder="1" applyAlignment="1">
      <alignment horizontal="left" vertical="center"/>
    </xf>
    <xf numFmtId="0" fontId="4" fillId="0" borderId="7" xfId="0" applyFont="1" applyBorder="1" applyAlignment="1">
      <alignment horizontal="left" vertical="center"/>
    </xf>
    <xf numFmtId="0" fontId="18" fillId="0" borderId="8" xfId="0" applyFont="1" applyBorder="1" applyAlignment="1">
      <alignment horizontal="left" vertical="center"/>
    </xf>
    <xf numFmtId="3" fontId="6" fillId="16" borderId="8" xfId="0" applyNumberFormat="1" applyFont="1" applyFill="1" applyBorder="1" applyAlignment="1">
      <alignment vertical="center"/>
    </xf>
    <xf numFmtId="0" fontId="18" fillId="17" borderId="8" xfId="0" applyFont="1" applyFill="1" applyBorder="1" applyAlignment="1">
      <alignment vertical="center"/>
    </xf>
    <xf numFmtId="0" fontId="19" fillId="17" borderId="8" xfId="0" applyFont="1" applyFill="1" applyBorder="1" applyAlignment="1">
      <alignment vertical="center"/>
    </xf>
    <xf numFmtId="0" fontId="25" fillId="0" borderId="8"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3" xfId="0" applyFont="1" applyFill="1" applyBorder="1" applyAlignment="1">
      <alignment horizontal="center"/>
    </xf>
    <xf numFmtId="0" fontId="25" fillId="0" borderId="11" xfId="0" applyFont="1" applyFill="1" applyBorder="1" applyAlignment="1">
      <alignment horizontal="center" vertical="center"/>
    </xf>
    <xf numFmtId="0" fontId="25" fillId="0" borderId="23" xfId="0" applyFont="1" applyFill="1" applyBorder="1" applyAlignment="1">
      <alignment horizontal="center"/>
    </xf>
    <xf numFmtId="0" fontId="25" fillId="0" borderId="8" xfId="0" applyFont="1" applyFill="1" applyBorder="1" applyAlignment="1">
      <alignment horizontal="center"/>
    </xf>
    <xf numFmtId="0" fontId="25" fillId="0" borderId="11" xfId="0" applyFont="1" applyFill="1" applyBorder="1" applyAlignment="1">
      <alignment horizontal="center"/>
    </xf>
    <xf numFmtId="3" fontId="0" fillId="18" borderId="0" xfId="0" applyNumberFormat="1" applyFill="1"/>
    <xf numFmtId="0" fontId="25" fillId="19" borderId="14" xfId="0" applyFont="1" applyFill="1" applyBorder="1"/>
    <xf numFmtId="0" fontId="25" fillId="19" borderId="15" xfId="0" applyFont="1" applyFill="1" applyBorder="1"/>
    <xf numFmtId="0" fontId="25" fillId="19" borderId="11" xfId="0" applyFont="1" applyFill="1" applyBorder="1" applyAlignment="1">
      <alignment horizontal="center"/>
    </xf>
    <xf numFmtId="164" fontId="25" fillId="19" borderId="11" xfId="10" applyNumberFormat="1" applyFont="1" applyFill="1" applyBorder="1" applyAlignment="1">
      <alignment horizontal="center"/>
    </xf>
    <xf numFmtId="3" fontId="10" fillId="4" borderId="31" xfId="0" applyNumberFormat="1" applyFont="1" applyFill="1" applyBorder="1" applyAlignment="1">
      <alignment horizontal="right" vertical="center"/>
    </xf>
    <xf numFmtId="3" fontId="10" fillId="13" borderId="74" xfId="0" applyNumberFormat="1" applyFont="1" applyFill="1" applyBorder="1" applyAlignment="1">
      <alignment horizontal="right" vertical="center"/>
    </xf>
    <xf numFmtId="0" fontId="25" fillId="20" borderId="13" xfId="0" applyFont="1" applyFill="1" applyBorder="1" applyAlignment="1">
      <alignment horizontal="center" vertical="center"/>
    </xf>
    <xf numFmtId="164" fontId="25" fillId="20" borderId="13" xfId="10" applyNumberFormat="1" applyFont="1" applyFill="1" applyBorder="1" applyAlignment="1">
      <alignment horizontal="center" vertical="center"/>
    </xf>
    <xf numFmtId="165" fontId="0" fillId="0" borderId="0" xfId="8" applyNumberFormat="1" applyFont="1"/>
    <xf numFmtId="0" fontId="18" fillId="17" borderId="8" xfId="0" applyFont="1" applyFill="1" applyBorder="1" applyAlignment="1">
      <alignment horizontal="left" vertical="center" wrapText="1"/>
    </xf>
    <xf numFmtId="0" fontId="20" fillId="5" borderId="3" xfId="0" applyFont="1" applyFill="1" applyBorder="1" applyAlignment="1">
      <alignment horizontal="center"/>
    </xf>
    <xf numFmtId="0" fontId="20" fillId="3" borderId="75" xfId="0" applyFont="1" applyFill="1" applyBorder="1"/>
    <xf numFmtId="0" fontId="20" fillId="3" borderId="76" xfId="0" applyFont="1" applyFill="1" applyBorder="1"/>
    <xf numFmtId="0" fontId="20" fillId="3" borderId="77" xfId="0" applyFont="1" applyFill="1" applyBorder="1"/>
    <xf numFmtId="0" fontId="20" fillId="5" borderId="2" xfId="0" applyFont="1" applyFill="1" applyBorder="1" applyAlignment="1">
      <alignment horizontal="center"/>
    </xf>
    <xf numFmtId="3" fontId="20" fillId="0" borderId="59" xfId="0" applyNumberFormat="1" applyFont="1" applyFill="1" applyBorder="1"/>
    <xf numFmtId="3" fontId="20" fillId="0" borderId="60" xfId="0" applyNumberFormat="1" applyFont="1" applyFill="1" applyBorder="1"/>
    <xf numFmtId="3" fontId="20" fillId="0" borderId="61" xfId="0" applyNumberFormat="1" applyFont="1" applyFill="1" applyBorder="1"/>
    <xf numFmtId="9" fontId="20" fillId="3" borderId="75" xfId="8" applyFont="1" applyFill="1" applyBorder="1" applyAlignment="1">
      <alignment horizontal="center"/>
    </xf>
    <xf numFmtId="9" fontId="20" fillId="3" borderId="76" xfId="8" applyFont="1" applyFill="1" applyBorder="1" applyAlignment="1">
      <alignment horizontal="center"/>
    </xf>
    <xf numFmtId="9" fontId="20" fillId="3" borderId="77" xfId="8" applyFont="1" applyFill="1" applyBorder="1" applyAlignment="1">
      <alignment horizontal="center"/>
    </xf>
    <xf numFmtId="9" fontId="20" fillId="3" borderId="78" xfId="8" applyFont="1" applyFill="1" applyBorder="1" applyAlignment="1">
      <alignment horizontal="center"/>
    </xf>
    <xf numFmtId="9" fontId="20" fillId="3" borderId="79" xfId="8" applyFont="1" applyFill="1" applyBorder="1" applyAlignment="1">
      <alignment horizontal="center"/>
    </xf>
    <xf numFmtId="3" fontId="0" fillId="19" borderId="0" xfId="0" applyNumberFormat="1" applyFill="1"/>
    <xf numFmtId="0" fontId="20" fillId="5" borderId="44" xfId="0" applyFont="1" applyFill="1" applyBorder="1" applyAlignment="1"/>
    <xf numFmtId="0" fontId="20" fillId="5" borderId="62" xfId="0" applyFont="1" applyFill="1" applyBorder="1" applyAlignment="1"/>
    <xf numFmtId="0" fontId="20" fillId="5" borderId="17" xfId="0" applyFont="1" applyFill="1" applyBorder="1" applyAlignment="1"/>
    <xf numFmtId="0" fontId="20" fillId="3" borderId="62" xfId="0" applyFont="1" applyFill="1" applyBorder="1" applyAlignment="1"/>
    <xf numFmtId="0" fontId="20" fillId="3" borderId="0" xfId="0" applyFont="1" applyFill="1" applyBorder="1" applyAlignment="1"/>
    <xf numFmtId="9" fontId="18" fillId="0" borderId="16" xfId="8" applyFont="1" applyBorder="1" applyAlignment="1">
      <alignment horizontal="center" vertical="center" wrapText="1"/>
    </xf>
    <xf numFmtId="9" fontId="18" fillId="0" borderId="54" xfId="8" applyFont="1" applyBorder="1" applyAlignment="1">
      <alignment horizontal="center" vertical="center" wrapText="1"/>
    </xf>
    <xf numFmtId="0" fontId="1" fillId="3" borderId="0" xfId="0" applyFont="1" applyFill="1"/>
    <xf numFmtId="43" fontId="0" fillId="3" borderId="0" xfId="10" applyFont="1" applyFill="1"/>
    <xf numFmtId="164" fontId="25" fillId="8" borderId="12" xfId="10" applyNumberFormat="1" applyFont="1" applyFill="1" applyBorder="1" applyAlignment="1">
      <alignment horizontal="center"/>
    </xf>
    <xf numFmtId="164" fontId="25" fillId="8" borderId="11" xfId="10" applyNumberFormat="1" applyFont="1" applyFill="1" applyBorder="1" applyAlignment="1">
      <alignment horizontal="center"/>
    </xf>
    <xf numFmtId="164" fontId="25" fillId="8" borderId="11" xfId="10" applyNumberFormat="1" applyFont="1" applyFill="1" applyBorder="1" applyAlignment="1">
      <alignment horizontal="center" vertical="center"/>
    </xf>
    <xf numFmtId="164" fontId="25" fillId="8" borderId="8" xfId="10" applyNumberFormat="1" applyFont="1" applyFill="1" applyBorder="1" applyAlignment="1">
      <alignment horizontal="center"/>
    </xf>
    <xf numFmtId="164" fontId="25" fillId="8" borderId="8" xfId="10" applyNumberFormat="1" applyFont="1" applyFill="1" applyBorder="1" applyAlignment="1">
      <alignment horizontal="center" vertical="center"/>
    </xf>
    <xf numFmtId="164" fontId="25" fillId="8" borderId="23" xfId="10" applyNumberFormat="1" applyFont="1" applyFill="1" applyBorder="1" applyAlignment="1">
      <alignment horizontal="center"/>
    </xf>
    <xf numFmtId="164" fontId="25" fillId="8" borderId="13" xfId="10" applyNumberFormat="1" applyFont="1" applyFill="1" applyBorder="1" applyAlignment="1">
      <alignment horizontal="center" vertical="center"/>
    </xf>
    <xf numFmtId="164" fontId="25" fillId="8" borderId="12" xfId="10" applyNumberFormat="1" applyFont="1" applyFill="1" applyBorder="1" applyAlignment="1">
      <alignment horizontal="center" vertical="center"/>
    </xf>
    <xf numFmtId="9" fontId="20" fillId="3" borderId="0" xfId="8" applyFont="1" applyFill="1" applyBorder="1" applyAlignment="1">
      <alignment horizontal="center"/>
    </xf>
    <xf numFmtId="9" fontId="20" fillId="3" borderId="0" xfId="0" applyNumberFormat="1" applyFont="1" applyFill="1" applyBorder="1" applyAlignment="1">
      <alignment horizontal="center"/>
    </xf>
    <xf numFmtId="0" fontId="20" fillId="3" borderId="0" xfId="0" applyFont="1" applyFill="1" applyBorder="1" applyAlignment="1">
      <alignment horizontal="center" vertical="center"/>
    </xf>
    <xf numFmtId="0" fontId="20" fillId="5" borderId="0" xfId="0" applyFont="1" applyFill="1" applyBorder="1" applyAlignment="1"/>
    <xf numFmtId="0" fontId="20" fillId="3" borderId="0" xfId="0" applyFont="1" applyFill="1" applyBorder="1"/>
    <xf numFmtId="0" fontId="20" fillId="3" borderId="1" xfId="0" applyFont="1" applyFill="1" applyBorder="1" applyAlignment="1"/>
    <xf numFmtId="0" fontId="0" fillId="0" borderId="0" xfId="0" applyNumberFormat="1"/>
    <xf numFmtId="0" fontId="13" fillId="2" borderId="8" xfId="0" applyFont="1" applyFill="1" applyBorder="1" applyAlignment="1">
      <alignment horizontal="left" vertical="center" wrapText="1"/>
    </xf>
    <xf numFmtId="0" fontId="20" fillId="5" borderId="17" xfId="0" applyFont="1" applyFill="1" applyBorder="1" applyAlignment="1">
      <alignment horizontal="center"/>
    </xf>
    <xf numFmtId="0" fontId="0" fillId="5" borderId="81" xfId="0" applyFill="1" applyBorder="1"/>
    <xf numFmtId="0" fontId="31" fillId="21" borderId="80" xfId="0" applyFont="1" applyFill="1" applyBorder="1" applyAlignment="1">
      <alignment horizontal="center" vertical="center"/>
    </xf>
    <xf numFmtId="0" fontId="31" fillId="21" borderId="1" xfId="0" applyFont="1" applyFill="1" applyBorder="1" applyAlignment="1">
      <alignment horizontal="center" vertical="center"/>
    </xf>
    <xf numFmtId="0" fontId="31" fillId="21" borderId="16" xfId="0" applyFont="1" applyFill="1" applyBorder="1" applyAlignment="1">
      <alignment horizontal="center" vertical="center"/>
    </xf>
    <xf numFmtId="0" fontId="31" fillId="22" borderId="81" xfId="0" applyFont="1" applyFill="1" applyBorder="1" applyAlignment="1">
      <alignment vertical="center"/>
    </xf>
    <xf numFmtId="0" fontId="31" fillId="22" borderId="1" xfId="0" applyFont="1" applyFill="1" applyBorder="1" applyAlignment="1">
      <alignment horizontal="center" vertical="center"/>
    </xf>
    <xf numFmtId="9" fontId="31" fillId="22" borderId="43" xfId="0" applyNumberFormat="1" applyFont="1" applyFill="1" applyBorder="1" applyAlignment="1">
      <alignment horizontal="center" vertical="center"/>
    </xf>
    <xf numFmtId="0" fontId="31" fillId="22" borderId="1" xfId="0" applyFont="1" applyFill="1" applyBorder="1" applyAlignment="1">
      <alignment vertical="center" wrapText="1"/>
    </xf>
    <xf numFmtId="0" fontId="31" fillId="22" borderId="43" xfId="0" applyFont="1" applyFill="1" applyBorder="1" applyAlignment="1">
      <alignment vertical="center"/>
    </xf>
    <xf numFmtId="0" fontId="31" fillId="21" borderId="44" xfId="0" applyFont="1" applyFill="1" applyBorder="1" applyAlignment="1">
      <alignment vertical="center" wrapText="1"/>
    </xf>
    <xf numFmtId="0" fontId="31" fillId="22" borderId="0" xfId="0" applyFont="1" applyFill="1" applyBorder="1" applyAlignment="1">
      <alignment horizontal="center" vertical="center"/>
    </xf>
    <xf numFmtId="9" fontId="31" fillId="22" borderId="0" xfId="0" applyNumberFormat="1" applyFont="1" applyFill="1" applyBorder="1" applyAlignment="1">
      <alignment horizontal="center" vertical="center"/>
    </xf>
    <xf numFmtId="0" fontId="31" fillId="22" borderId="0" xfId="0" applyFont="1" applyFill="1" applyBorder="1" applyAlignment="1">
      <alignment vertical="center" wrapText="1"/>
    </xf>
    <xf numFmtId="9" fontId="31" fillId="22" borderId="0" xfId="0" applyNumberFormat="1" applyFont="1" applyFill="1" applyBorder="1" applyAlignment="1">
      <alignment horizontal="center" vertical="center" wrapText="1"/>
    </xf>
    <xf numFmtId="9" fontId="31" fillId="3" borderId="0" xfId="0" applyNumberFormat="1" applyFont="1" applyFill="1" applyBorder="1" applyAlignment="1">
      <alignment horizontal="center" vertical="center" wrapText="1"/>
    </xf>
    <xf numFmtId="0" fontId="31" fillId="3" borderId="0" xfId="0" applyFont="1" applyFill="1" applyBorder="1" applyAlignment="1">
      <alignment vertical="center"/>
    </xf>
    <xf numFmtId="0" fontId="31" fillId="3" borderId="0" xfId="0" applyFont="1" applyFill="1" applyBorder="1" applyAlignment="1">
      <alignment vertical="center" wrapText="1"/>
    </xf>
    <xf numFmtId="9" fontId="31" fillId="3" borderId="0" xfId="0" applyNumberFormat="1" applyFont="1" applyFill="1" applyBorder="1" applyAlignment="1">
      <alignment vertical="center" wrapText="1"/>
    </xf>
    <xf numFmtId="0" fontId="32" fillId="5" borderId="81" xfId="0" applyFont="1" applyFill="1" applyBorder="1" applyAlignment="1">
      <alignment vertical="center"/>
    </xf>
    <xf numFmtId="0" fontId="31" fillId="21" borderId="17" xfId="0" applyFont="1" applyFill="1" applyBorder="1" applyAlignment="1">
      <alignment horizontal="center" vertical="center" wrapText="1"/>
    </xf>
    <xf numFmtId="9" fontId="31" fillId="22" borderId="81" xfId="0" applyNumberFormat="1" applyFont="1" applyFill="1" applyBorder="1" applyAlignment="1">
      <alignment horizontal="center" vertical="center" wrapText="1"/>
    </xf>
    <xf numFmtId="0" fontId="31" fillId="22" borderId="0" xfId="0" applyFont="1" applyFill="1" applyBorder="1" applyAlignment="1">
      <alignment vertical="center"/>
    </xf>
    <xf numFmtId="0" fontId="31" fillId="22" borderId="62" xfId="0" applyFont="1" applyFill="1" applyBorder="1" applyAlignment="1">
      <alignment horizontal="center" vertical="center"/>
    </xf>
    <xf numFmtId="9" fontId="31" fillId="22" borderId="81" xfId="0" applyNumberFormat="1" applyFont="1" applyFill="1" applyBorder="1" applyAlignment="1">
      <alignment horizontal="center" vertical="center"/>
    </xf>
    <xf numFmtId="0" fontId="31" fillId="22" borderId="62" xfId="0" applyFont="1" applyFill="1" applyBorder="1" applyAlignment="1">
      <alignment vertical="center" wrapText="1"/>
    </xf>
    <xf numFmtId="0" fontId="31" fillId="23" borderId="82" xfId="0" applyFont="1" applyFill="1" applyBorder="1" applyAlignment="1">
      <alignment vertical="center"/>
    </xf>
    <xf numFmtId="0" fontId="31" fillId="23" borderId="82" xfId="0" applyFont="1" applyFill="1" applyBorder="1" applyAlignment="1">
      <alignment horizontal="center" vertical="center"/>
    </xf>
    <xf numFmtId="9" fontId="31" fillId="23" borderId="82" xfId="0" applyNumberFormat="1" applyFont="1" applyFill="1" applyBorder="1" applyAlignment="1">
      <alignment horizontal="center" vertical="center"/>
    </xf>
    <xf numFmtId="9" fontId="31" fillId="23" borderId="57" xfId="0" applyNumberFormat="1" applyFont="1" applyFill="1" applyBorder="1" applyAlignment="1">
      <alignment horizontal="center" vertical="center"/>
    </xf>
    <xf numFmtId="0" fontId="31" fillId="23" borderId="83" xfId="0" applyFont="1" applyFill="1" applyBorder="1" applyAlignment="1">
      <alignment vertical="center" wrapText="1"/>
    </xf>
    <xf numFmtId="9" fontId="31" fillId="23" borderId="83" xfId="0" applyNumberFormat="1" applyFont="1" applyFill="1" applyBorder="1" applyAlignment="1">
      <alignment horizontal="center" vertical="center" wrapText="1"/>
    </xf>
    <xf numFmtId="0" fontId="4" fillId="10" borderId="45" xfId="0" applyFont="1" applyFill="1" applyBorder="1" applyAlignment="1">
      <alignment horizontal="left" vertical="center" wrapText="1"/>
    </xf>
    <xf numFmtId="0" fontId="4" fillId="10" borderId="46" xfId="0" applyFont="1" applyFill="1" applyBorder="1" applyAlignment="1">
      <alignment horizontal="left" vertical="center" wrapText="1"/>
    </xf>
    <xf numFmtId="0" fontId="4" fillId="10" borderId="53" xfId="0" applyFont="1" applyFill="1" applyBorder="1" applyAlignment="1">
      <alignment horizontal="center" vertical="center" wrapText="1"/>
    </xf>
    <xf numFmtId="0" fontId="4" fillId="10" borderId="47"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0" fillId="5" borderId="5" xfId="0" applyFont="1" applyFill="1" applyBorder="1" applyAlignment="1">
      <alignment horizontal="center" vertical="center"/>
    </xf>
    <xf numFmtId="0" fontId="20" fillId="5" borderId="16" xfId="0" applyFont="1" applyFill="1" applyBorder="1" applyAlignment="1">
      <alignment horizontal="center" vertical="center"/>
    </xf>
    <xf numFmtId="0" fontId="20" fillId="5" borderId="2" xfId="0" applyFont="1" applyFill="1" applyBorder="1" applyAlignment="1">
      <alignment horizontal="left" vertical="center"/>
    </xf>
    <xf numFmtId="0" fontId="20" fillId="5" borderId="43" xfId="0" applyFont="1" applyFill="1" applyBorder="1" applyAlignment="1">
      <alignment horizontal="left" vertical="center"/>
    </xf>
    <xf numFmtId="0" fontId="31" fillId="21" borderId="44" xfId="0" applyFont="1" applyFill="1" applyBorder="1" applyAlignment="1">
      <alignment horizontal="center" vertical="center"/>
    </xf>
    <xf numFmtId="0" fontId="31" fillId="21" borderId="62" xfId="0" applyFont="1" applyFill="1" applyBorder="1" applyAlignment="1">
      <alignment horizontal="center" vertical="center"/>
    </xf>
    <xf numFmtId="0" fontId="31" fillId="21" borderId="17" xfId="0" applyFont="1" applyFill="1" applyBorder="1" applyAlignment="1">
      <alignment horizontal="center" vertical="center"/>
    </xf>
    <xf numFmtId="0" fontId="20" fillId="5" borderId="44" xfId="0" applyFont="1" applyFill="1" applyBorder="1" applyAlignment="1">
      <alignment horizontal="center"/>
    </xf>
    <xf numFmtId="0" fontId="20" fillId="5" borderId="62" xfId="0" applyFont="1" applyFill="1" applyBorder="1" applyAlignment="1">
      <alignment horizontal="center"/>
    </xf>
    <xf numFmtId="0" fontId="20" fillId="5" borderId="17" xfId="0" applyFont="1" applyFill="1" applyBorder="1" applyAlignment="1">
      <alignment horizontal="center"/>
    </xf>
    <xf numFmtId="0" fontId="20" fillId="5" borderId="80" xfId="0" applyFont="1" applyFill="1" applyBorder="1" applyAlignment="1">
      <alignment horizontal="center"/>
    </xf>
    <xf numFmtId="0" fontId="20" fillId="5" borderId="1" xfId="0" applyFont="1" applyFill="1" applyBorder="1" applyAlignment="1">
      <alignment horizontal="center"/>
    </xf>
    <xf numFmtId="0" fontId="20" fillId="5" borderId="16" xfId="0" applyFont="1" applyFill="1" applyBorder="1" applyAlignment="1">
      <alignment horizontal="center"/>
    </xf>
    <xf numFmtId="0" fontId="11" fillId="0" borderId="0" xfId="0" applyFont="1" applyAlignment="1">
      <alignment horizontal="right"/>
    </xf>
    <xf numFmtId="0" fontId="0" fillId="0" borderId="0" xfId="0" applyAlignment="1">
      <alignment horizontal="right"/>
    </xf>
    <xf numFmtId="0" fontId="12" fillId="0" borderId="0" xfId="0" applyFont="1" applyAlignment="1">
      <alignment horizontal="center"/>
    </xf>
    <xf numFmtId="0" fontId="8" fillId="0" borderId="3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7" xfId="0" applyFont="1" applyBorder="1" applyAlignment="1">
      <alignment horizontal="center" vertical="center" wrapText="1"/>
    </xf>
    <xf numFmtId="0" fontId="6" fillId="0" borderId="44" xfId="0" applyFont="1" applyBorder="1" applyAlignment="1">
      <alignment horizontal="center"/>
    </xf>
    <xf numFmtId="0" fontId="6" fillId="0" borderId="62" xfId="0" applyFont="1" applyBorder="1" applyAlignment="1">
      <alignment horizontal="center"/>
    </xf>
    <xf numFmtId="0" fontId="6" fillId="0" borderId="17" xfId="0" applyFont="1" applyBorder="1" applyAlignment="1">
      <alignment horizontal="center"/>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9" fillId="0" borderId="34" xfId="0" applyFont="1" applyBorder="1" applyAlignment="1">
      <alignment horizontal="center" vertical="center"/>
    </xf>
    <xf numFmtId="0" fontId="9" fillId="0" borderId="13" xfId="0" applyFont="1" applyBorder="1" applyAlignment="1">
      <alignment horizontal="center" vertical="center"/>
    </xf>
    <xf numFmtId="0" fontId="9" fillId="0" borderId="36" xfId="0" applyFont="1" applyBorder="1" applyAlignment="1">
      <alignment horizontal="center" vertical="center"/>
    </xf>
    <xf numFmtId="0" fontId="13" fillId="0" borderId="0" xfId="0" applyFont="1" applyAlignment="1">
      <alignment horizontal="center" vertical="center"/>
    </xf>
    <xf numFmtId="0" fontId="6" fillId="16" borderId="7" xfId="0" applyFont="1" applyFill="1" applyBorder="1" applyAlignment="1">
      <alignment horizontal="center" vertical="center"/>
    </xf>
    <xf numFmtId="0" fontId="6" fillId="16" borderId="23"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3" xfId="0" applyFont="1" applyFill="1" applyBorder="1" applyAlignment="1">
      <alignment horizontal="center" vertical="center"/>
    </xf>
    <xf numFmtId="0" fontId="2" fillId="0" borderId="0" xfId="0" applyFont="1" applyAlignment="1">
      <alignment horizont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43" xfId="0" applyFont="1" applyBorder="1" applyAlignment="1">
      <alignment horizontal="center" vertical="center"/>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43" xfId="0" applyFont="1" applyBorder="1" applyAlignment="1">
      <alignment horizontal="center" vertical="center" wrapText="1"/>
    </xf>
    <xf numFmtId="0" fontId="4" fillId="0" borderId="44" xfId="0" applyFont="1" applyBorder="1" applyAlignment="1">
      <alignment horizontal="right" vertical="center"/>
    </xf>
    <xf numFmtId="0" fontId="4" fillId="0" borderId="17" xfId="0" applyFont="1" applyBorder="1" applyAlignment="1">
      <alignment horizontal="right" vertical="center"/>
    </xf>
    <xf numFmtId="0" fontId="25" fillId="0" borderId="10" xfId="0" applyFont="1" applyBorder="1" applyAlignment="1">
      <alignment horizontal="left" wrapText="1"/>
    </xf>
    <xf numFmtId="0" fontId="25" fillId="0" borderId="0" xfId="0" applyFont="1" applyBorder="1" applyAlignment="1">
      <alignment horizontal="left" wrapText="1"/>
    </xf>
    <xf numFmtId="0" fontId="25" fillId="0" borderId="14" xfId="0" applyFont="1" applyBorder="1" applyAlignment="1">
      <alignment horizontal="left" wrapText="1"/>
    </xf>
    <xf numFmtId="0" fontId="25" fillId="0" borderId="15" xfId="0" applyFont="1" applyBorder="1" applyAlignment="1">
      <alignment horizontal="left" wrapText="1"/>
    </xf>
    <xf numFmtId="0" fontId="25" fillId="0" borderId="66" xfId="0" applyFont="1" applyBorder="1" applyAlignment="1">
      <alignment horizontal="left" wrapText="1"/>
    </xf>
    <xf numFmtId="0" fontId="25" fillId="0" borderId="7" xfId="0" applyFont="1" applyBorder="1" applyAlignment="1">
      <alignment horizontal="left" wrapText="1"/>
    </xf>
    <xf numFmtId="0" fontId="25" fillId="0" borderId="9" xfId="0" applyFont="1" applyBorder="1" applyAlignment="1">
      <alignment horizontal="left" wrapText="1"/>
    </xf>
    <xf numFmtId="0" fontId="25" fillId="0" borderId="23" xfId="0" applyFont="1" applyBorder="1" applyAlignment="1">
      <alignment horizontal="left" wrapText="1"/>
    </xf>
    <xf numFmtId="0" fontId="25" fillId="0" borderId="67" xfId="0" applyFont="1" applyBorder="1" applyAlignment="1">
      <alignment horizontal="left" vertical="center" wrapText="1"/>
    </xf>
    <xf numFmtId="0" fontId="25" fillId="0" borderId="64" xfId="0" applyFont="1" applyBorder="1" applyAlignment="1">
      <alignment horizontal="left" vertical="center" wrapText="1"/>
    </xf>
    <xf numFmtId="0" fontId="25" fillId="0" borderId="10" xfId="0" applyFont="1" applyBorder="1" applyAlignment="1">
      <alignment horizontal="left" vertical="center" wrapText="1"/>
    </xf>
    <xf numFmtId="0" fontId="25" fillId="0" borderId="0" xfId="0" applyFont="1" applyBorder="1" applyAlignment="1">
      <alignment horizontal="left" vertical="center" wrapText="1"/>
    </xf>
    <xf numFmtId="0" fontId="25" fillId="0" borderId="18" xfId="0" applyFont="1" applyBorder="1" applyAlignment="1">
      <alignment horizontal="left" vertical="center" wrapText="1"/>
    </xf>
    <xf numFmtId="0" fontId="26" fillId="0" borderId="10"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8" xfId="0" applyFont="1" applyBorder="1" applyAlignment="1">
      <alignment horizontal="center" vertical="center" wrapText="1"/>
    </xf>
    <xf numFmtId="0" fontId="25" fillId="0" borderId="18" xfId="0" applyFont="1" applyBorder="1" applyAlignment="1">
      <alignment horizontal="left" wrapText="1"/>
    </xf>
    <xf numFmtId="0" fontId="25" fillId="20" borderId="10" xfId="0" applyFont="1" applyFill="1" applyBorder="1" applyAlignment="1">
      <alignment horizontal="left" wrapText="1"/>
    </xf>
    <xf numFmtId="0" fontId="25" fillId="20" borderId="0" xfId="0" applyFont="1" applyFill="1" applyBorder="1" applyAlignment="1">
      <alignment horizontal="left" wrapText="1"/>
    </xf>
    <xf numFmtId="0" fontId="25" fillId="20" borderId="18" xfId="0" applyFont="1" applyFill="1" applyBorder="1" applyAlignment="1">
      <alignment horizontal="left" wrapText="1"/>
    </xf>
  </cellXfs>
  <cellStyles count="11">
    <cellStyle name="Comma" xfId="10" builtinId="3"/>
    <cellStyle name="F2" xfId="1"/>
    <cellStyle name="F3" xfId="2"/>
    <cellStyle name="F4" xfId="3"/>
    <cellStyle name="F5" xfId="4"/>
    <cellStyle name="F6" xfId="5"/>
    <cellStyle name="F7" xfId="6"/>
    <cellStyle name="F8" xfId="7"/>
    <cellStyle name="Normal" xfId="0" builtinId="0"/>
    <cellStyle name="Percent" xfId="8" builtinId="5"/>
    <cellStyle name="Pourcentag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dPt>
          <c:dPt>
            <c:idx val="1"/>
            <c:bubble3D val="0"/>
          </c:dPt>
          <c:dPt>
            <c:idx val="2"/>
            <c:bubble3D val="0"/>
          </c:dPt>
          <c:dPt>
            <c:idx val="3"/>
            <c:bubble3D val="0"/>
          </c:dPt>
          <c:dPt>
            <c:idx val="4"/>
            <c:bubble3D val="0"/>
          </c:dPt>
          <c:cat>
            <c:strRef>
              <c:f>Graphs!$B$5:$B$9</c:f>
              <c:strCache>
                <c:ptCount val="5"/>
                <c:pt idx="0">
                  <c:v>UN Grant</c:v>
                </c:pt>
                <c:pt idx="1">
                  <c:v>Member State Contributions</c:v>
                </c:pt>
                <c:pt idx="2">
                  <c:v>ECA Funds (received Dec 2015)</c:v>
                </c:pt>
                <c:pt idx="3">
                  <c:v>Other Income</c:v>
                </c:pt>
                <c:pt idx="4">
                  <c:v>Resources mobilisation</c:v>
                </c:pt>
              </c:strCache>
            </c:strRef>
          </c:cat>
          <c:val>
            <c:numRef>
              <c:f>Graphs!$C$5:$C$9</c:f>
              <c:numCache>
                <c:formatCode>_(* #,##0_);_(* \(#,##0\);_(* "-"??_);_(@_)</c:formatCode>
                <c:ptCount val="5"/>
                <c:pt idx="0">
                  <c:v>1300000</c:v>
                </c:pt>
                <c:pt idx="1">
                  <c:v>600000</c:v>
                </c:pt>
                <c:pt idx="2">
                  <c:v>1000000</c:v>
                </c:pt>
                <c:pt idx="3">
                  <c:v>250000</c:v>
                </c:pt>
                <c:pt idx="4">
                  <c:v>3411100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a:pPr>
            <a:r>
              <a:rPr lang="en-US"/>
              <a:t>2016 Total Revenue by source</a:t>
            </a:r>
          </a:p>
        </c:rich>
      </c:tx>
      <c:overlay val="0"/>
    </c:title>
    <c:autoTitleDeleted val="0"/>
    <c:view3D>
      <c:rotX val="30"/>
      <c:rotY val="50"/>
      <c:rAngAx val="0"/>
      <c:perspective val="60"/>
    </c:view3D>
    <c:floor>
      <c:thickness val="0"/>
    </c:floor>
    <c:sideWall>
      <c:thickness val="0"/>
    </c:sideWall>
    <c:backWall>
      <c:thickness val="0"/>
    </c:backWall>
    <c:plotArea>
      <c:layout/>
      <c:pie3DChart>
        <c:varyColors val="1"/>
        <c:ser>
          <c:idx val="0"/>
          <c:order val="0"/>
          <c:dPt>
            <c:idx val="4"/>
            <c:bubble3D val="0"/>
            <c:spPr>
              <a:scene3d>
                <a:camera prst="orthographicFront"/>
                <a:lightRig rig="threePt" dir="t"/>
              </a:scene3d>
              <a:sp3d prstMaterial="dkEdge">
                <a:bevelT/>
                <a:bevelB prst="relaxedInset"/>
                <a:contourClr>
                  <a:srgbClr val="000000"/>
                </a:contourClr>
              </a:sp3d>
            </c:spPr>
          </c:dPt>
          <c:dLbls>
            <c:dLbl>
              <c:idx val="1"/>
              <c:layout>
                <c:manualLayout>
                  <c:x val="-0.13664189297766349"/>
                  <c:y val="-0.21348867976868746"/>
                </c:manualLayout>
              </c:layout>
              <c:dLblPos val="bestFit"/>
              <c:showLegendKey val="0"/>
              <c:showVal val="0"/>
              <c:showCatName val="1"/>
              <c:showSerName val="0"/>
              <c:showPercent val="1"/>
              <c:showBubbleSize val="0"/>
            </c:dLbl>
            <c:dLbl>
              <c:idx val="4"/>
              <c:layout>
                <c:manualLayout>
                  <c:x val="-6.4543963254593176E-2"/>
                  <c:y val="3.776177368072893E-2"/>
                </c:manualLayout>
              </c:layout>
              <c:dLblPos val="bestFit"/>
              <c:showLegendKey val="0"/>
              <c:showVal val="0"/>
              <c:showCatName val="1"/>
              <c:showSerName val="0"/>
              <c:showPercent val="1"/>
              <c:showBubbleSize val="0"/>
            </c:dLbl>
            <c:dLblPos val="bestFit"/>
            <c:showLegendKey val="0"/>
            <c:showVal val="0"/>
            <c:showCatName val="1"/>
            <c:showSerName val="0"/>
            <c:showPercent val="1"/>
            <c:showBubbleSize val="0"/>
            <c:showLeaderLines val="1"/>
          </c:dLbls>
          <c:cat>
            <c:strRef>
              <c:f>Graphs!$B$5:$B$9</c:f>
              <c:strCache>
                <c:ptCount val="5"/>
                <c:pt idx="0">
                  <c:v>UN Grant</c:v>
                </c:pt>
                <c:pt idx="1">
                  <c:v>Member State Contributions</c:v>
                </c:pt>
                <c:pt idx="2">
                  <c:v>ECA Funds (received Dec 2015)</c:v>
                </c:pt>
                <c:pt idx="3">
                  <c:v>Other Income</c:v>
                </c:pt>
                <c:pt idx="4">
                  <c:v>Resources mobilisation</c:v>
                </c:pt>
              </c:strCache>
            </c:strRef>
          </c:cat>
          <c:val>
            <c:numRef>
              <c:f>Graphs!$C$5:$C$9</c:f>
              <c:numCache>
                <c:formatCode>_(* #,##0_);_(* \(#,##0\);_(* "-"??_);_(@_)</c:formatCode>
                <c:ptCount val="5"/>
                <c:pt idx="0">
                  <c:v>1300000</c:v>
                </c:pt>
                <c:pt idx="1">
                  <c:v>600000</c:v>
                </c:pt>
                <c:pt idx="2">
                  <c:v>1000000</c:v>
                </c:pt>
                <c:pt idx="3">
                  <c:v>250000</c:v>
                </c:pt>
                <c:pt idx="4">
                  <c:v>3411100</c:v>
                </c:pt>
              </c:numCache>
            </c:numRef>
          </c:val>
        </c:ser>
        <c:dLbls>
          <c:dLblPos val="bestFit"/>
          <c:showLegendKey val="0"/>
          <c:showVal val="0"/>
          <c:showCatName val="0"/>
          <c:showSerName val="0"/>
          <c:showPercent val="1"/>
          <c:showBubbleSize val="0"/>
          <c:showLeaderLines val="1"/>
        </c:dLbls>
      </c:pie3DChart>
    </c:plotArea>
    <c:legend>
      <c:legendPos val="t"/>
      <c:overlay val="0"/>
    </c:legend>
    <c:plotVisOnly val="1"/>
    <c:dispBlanksAs val="zero"/>
    <c:showDLblsOverMax val="0"/>
  </c:chart>
  <c:spPr>
    <a:solidFill>
      <a:sysClr val="window" lastClr="FFFFFF"/>
    </a:solidFill>
    <a:ln w="25400" cap="flat" cmpd="sng" algn="ctr">
      <a:solidFill>
        <a:srgbClr val="4F81BD"/>
      </a:solidFill>
      <a:prstDash val="solid"/>
    </a:ln>
    <a:effectLst/>
  </c:spPr>
  <c:txPr>
    <a:bodyPr/>
    <a:lstStyle/>
    <a:p>
      <a:pPr>
        <a:defRPr>
          <a:solidFill>
            <a:sysClr val="windowText" lastClr="000000"/>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a:pPr>
            <a:r>
              <a:rPr lang="en-US"/>
              <a:t>2017 budget</a:t>
            </a:r>
            <a:r>
              <a:rPr lang="en-US" baseline="0"/>
              <a:t> resourcing </a:t>
            </a:r>
            <a:endParaRPr lang="en-US"/>
          </a:p>
        </c:rich>
      </c:tx>
      <c:overlay val="0"/>
    </c:title>
    <c:autoTitleDeleted val="0"/>
    <c:view3D>
      <c:rotX val="30"/>
      <c:rotY val="20"/>
      <c:rAngAx val="1"/>
    </c:view3D>
    <c:floor>
      <c:thickness val="0"/>
    </c:floor>
    <c:sideWall>
      <c:thickness val="0"/>
    </c:sideWall>
    <c:backWall>
      <c:thickness val="0"/>
    </c:backWall>
    <c:plotArea>
      <c:layout/>
      <c:pie3DChart>
        <c:varyColors val="1"/>
        <c:ser>
          <c:idx val="0"/>
          <c:order val="0"/>
          <c:spPr>
            <a:scene3d>
              <a:camera prst="orthographicFront"/>
              <a:lightRig rig="threePt" dir="t"/>
            </a:scene3d>
            <a:sp3d prstMaterial="matte">
              <a:bevelT/>
              <a:bevelB/>
              <a:contourClr>
                <a:srgbClr val="000000"/>
              </a:contourClr>
            </a:sp3d>
          </c:spPr>
          <c:explosion val="10"/>
          <c:dLbls>
            <c:dLbl>
              <c:idx val="0"/>
              <c:layout>
                <c:manualLayout>
                  <c:x val="-5.1525389683432427E-2"/>
                  <c:y val="-0.14517401788191112"/>
                </c:manualLayout>
              </c:layout>
              <c:dLblPos val="bestFit"/>
              <c:showLegendKey val="0"/>
              <c:showVal val="0"/>
              <c:showCatName val="1"/>
              <c:showSerName val="0"/>
              <c:showPercent val="1"/>
              <c:showBubbleSize val="0"/>
            </c:dLbl>
            <c:dLbl>
              <c:idx val="1"/>
              <c:layout>
                <c:manualLayout>
                  <c:x val="-0.11955594836359741"/>
                  <c:y val="-0.22835861980667052"/>
                </c:manualLayout>
              </c:layout>
              <c:dLblPos val="bestFit"/>
              <c:showLegendKey val="0"/>
              <c:showVal val="0"/>
              <c:showCatName val="1"/>
              <c:showSerName val="0"/>
              <c:showPercent val="1"/>
              <c:showBubbleSize val="0"/>
            </c:dLbl>
            <c:dLbl>
              <c:idx val="3"/>
              <c:layout>
                <c:manualLayout>
                  <c:x val="4.8350340136054423E-2"/>
                  <c:y val="-0.12470264387683247"/>
                </c:manualLayout>
              </c:layout>
              <c:dLblPos val="bestFit"/>
              <c:showLegendKey val="0"/>
              <c:showVal val="0"/>
              <c:showCatName val="1"/>
              <c:showSerName val="0"/>
              <c:showPercent val="1"/>
              <c:showBubbleSize val="0"/>
            </c:dLbl>
            <c:dLblPos val="bestFit"/>
            <c:showLegendKey val="0"/>
            <c:showVal val="0"/>
            <c:showCatName val="1"/>
            <c:showSerName val="0"/>
            <c:showPercent val="1"/>
            <c:showBubbleSize val="0"/>
            <c:showLeaderLines val="1"/>
          </c:dLbls>
          <c:cat>
            <c:strRef>
              <c:f>Graphs!$B$35:$B$38</c:f>
              <c:strCache>
                <c:ptCount val="4"/>
                <c:pt idx="0">
                  <c:v>UN Grant</c:v>
                </c:pt>
                <c:pt idx="1">
                  <c:v>Member State Contributions</c:v>
                </c:pt>
                <c:pt idx="2">
                  <c:v>Other Income</c:v>
                </c:pt>
                <c:pt idx="3">
                  <c:v>Resource mobilisation</c:v>
                </c:pt>
              </c:strCache>
            </c:strRef>
          </c:cat>
          <c:val>
            <c:numRef>
              <c:f>Graphs!$C$35:$C$38</c:f>
              <c:numCache>
                <c:formatCode>_(* #,##0_);_(* \(#,##0\);_(* "-"??_);_(@_)</c:formatCode>
                <c:ptCount val="4"/>
                <c:pt idx="0">
                  <c:v>1300000</c:v>
                </c:pt>
                <c:pt idx="1">
                  <c:v>600000</c:v>
                </c:pt>
                <c:pt idx="2">
                  <c:v>344221</c:v>
                </c:pt>
                <c:pt idx="3">
                  <c:v>2479962.6640516836</c:v>
                </c:pt>
              </c:numCache>
            </c:numRef>
          </c:val>
        </c:ser>
        <c:dLbls>
          <c:dLblPos val="bestFit"/>
          <c:showLegendKey val="0"/>
          <c:showVal val="0"/>
          <c:showCatName val="0"/>
          <c:showSerName val="0"/>
          <c:showPercent val="1"/>
          <c:showBubbleSize val="0"/>
          <c:showLeaderLines val="1"/>
        </c:dLbls>
      </c:pie3DChart>
    </c:plotArea>
    <c:plotVisOnly val="1"/>
    <c:dispBlanksAs val="zero"/>
    <c:showDLblsOverMax val="0"/>
  </c:chart>
  <c:spPr>
    <a:solidFill>
      <a:sysClr val="window" lastClr="FFFFFF"/>
    </a:solidFill>
    <a:ln w="25400" cap="flat" cmpd="sng" algn="ctr">
      <a:solidFill>
        <a:srgbClr val="4F81BD"/>
      </a:solidFill>
      <a:prstDash val="solid"/>
    </a:ln>
    <a:effectLst/>
  </c:spPr>
  <c:txPr>
    <a:bodyPr/>
    <a:lstStyle/>
    <a:p>
      <a:pPr>
        <a:defRPr>
          <a:solidFill>
            <a:sysClr val="windowText" lastClr="000000"/>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a:pPr>
            <a:r>
              <a:rPr lang="en-US"/>
              <a:t>Annual allotments c</a:t>
            </a:r>
            <a:r>
              <a:rPr lang="en-US" baseline="0"/>
              <a:t>ost category</a:t>
            </a:r>
            <a:endParaRPr lang="en-US"/>
          </a:p>
        </c:rich>
      </c:tx>
      <c:layout>
        <c:manualLayout>
          <c:xMode val="edge"/>
          <c:yMode val="edge"/>
          <c:x val="0.24531040762761802"/>
          <c:y val="1.6260162601626018E-2"/>
        </c:manualLayout>
      </c:layout>
      <c:overlay val="0"/>
    </c:title>
    <c:autoTitleDeleted val="0"/>
    <c:plotArea>
      <c:layout/>
      <c:barChart>
        <c:barDir val="col"/>
        <c:grouping val="clustered"/>
        <c:varyColors val="0"/>
        <c:ser>
          <c:idx val="0"/>
          <c:order val="0"/>
          <c:tx>
            <c:v>2016</c:v>
          </c:tx>
          <c:spPr>
            <a:effectLst>
              <a:outerShdw blurRad="50800" dist="50800" dir="5400000" algn="ctr" rotWithShape="0">
                <a:sysClr val="window" lastClr="FFFFFF">
                  <a:lumMod val="85000"/>
                </a:sysClr>
              </a:outerShdw>
            </a:effectLst>
            <a:scene3d>
              <a:camera prst="orthographicFront"/>
              <a:lightRig rig="threePt" dir="t"/>
            </a:scene3d>
            <a:sp3d>
              <a:bevelB prst="relaxedInset"/>
            </a:sp3d>
          </c:spPr>
          <c:invertIfNegative val="0"/>
          <c:cat>
            <c:strRef>
              <c:f>Graphs!$B$74:$B$79</c:f>
              <c:strCache>
                <c:ptCount val="6"/>
                <c:pt idx="0">
                  <c:v>Training</c:v>
                </c:pt>
                <c:pt idx="1">
                  <c:v>Research</c:v>
                </c:pt>
                <c:pt idx="2">
                  <c:v>KM and e-Learning</c:v>
                </c:pt>
                <c:pt idx="3">
                  <c:v>Outreach and Marketing</c:v>
                </c:pt>
                <c:pt idx="4">
                  <c:v>Administrative Salaries</c:v>
                </c:pt>
                <c:pt idx="5">
                  <c:v>Operating expenses</c:v>
                </c:pt>
              </c:strCache>
            </c:strRef>
          </c:cat>
          <c:val>
            <c:numRef>
              <c:f>Graphs!$C$74:$C$79</c:f>
              <c:numCache>
                <c:formatCode>_(* #,##0_);_(* \(#,##0\);_(* "-"??_);_(@_)</c:formatCode>
                <c:ptCount val="6"/>
                <c:pt idx="0">
                  <c:v>3722250</c:v>
                </c:pt>
                <c:pt idx="1">
                  <c:v>424750</c:v>
                </c:pt>
                <c:pt idx="2">
                  <c:v>1073550</c:v>
                </c:pt>
                <c:pt idx="3">
                  <c:v>105950</c:v>
                </c:pt>
                <c:pt idx="4">
                  <c:v>559500</c:v>
                </c:pt>
                <c:pt idx="5">
                  <c:v>675100</c:v>
                </c:pt>
              </c:numCache>
            </c:numRef>
          </c:val>
        </c:ser>
        <c:ser>
          <c:idx val="1"/>
          <c:order val="1"/>
          <c:tx>
            <c:v>2017</c:v>
          </c:tx>
          <c:spPr>
            <a:effectLst>
              <a:softEdge rad="12700"/>
            </a:effectLst>
            <a:scene3d>
              <a:camera prst="orthographicFront"/>
              <a:lightRig rig="threePt" dir="t"/>
            </a:scene3d>
            <a:sp3d prstMaterial="metal"/>
          </c:spPr>
          <c:invertIfNegative val="0"/>
          <c:cat>
            <c:strRef>
              <c:f>Graphs!$B$74:$B$79</c:f>
              <c:strCache>
                <c:ptCount val="6"/>
                <c:pt idx="0">
                  <c:v>Training</c:v>
                </c:pt>
                <c:pt idx="1">
                  <c:v>Research</c:v>
                </c:pt>
                <c:pt idx="2">
                  <c:v>KM and e-Learning</c:v>
                </c:pt>
                <c:pt idx="3">
                  <c:v>Outreach and Marketing</c:v>
                </c:pt>
                <c:pt idx="4">
                  <c:v>Administrative Salaries</c:v>
                </c:pt>
                <c:pt idx="5">
                  <c:v>Operating expenses</c:v>
                </c:pt>
              </c:strCache>
            </c:strRef>
          </c:cat>
          <c:val>
            <c:numRef>
              <c:f>Graphs!$E$74:$E$79</c:f>
              <c:numCache>
                <c:formatCode>_(* #,##0_);_(* \(#,##0\);_(* "-"??_);_(@_)</c:formatCode>
                <c:ptCount val="6"/>
                <c:pt idx="0">
                  <c:v>2224195.9160129209</c:v>
                </c:pt>
                <c:pt idx="1">
                  <c:v>437877.54960775265</c:v>
                </c:pt>
                <c:pt idx="2">
                  <c:v>765179.58929395478</c:v>
                </c:pt>
                <c:pt idx="3">
                  <c:v>110575.50992155052</c:v>
                </c:pt>
                <c:pt idx="4">
                  <c:v>605755.0992155053</c:v>
                </c:pt>
                <c:pt idx="5">
                  <c:v>580600</c:v>
                </c:pt>
              </c:numCache>
            </c:numRef>
          </c:val>
        </c:ser>
        <c:dLbls>
          <c:showLegendKey val="0"/>
          <c:showVal val="0"/>
          <c:showCatName val="0"/>
          <c:showSerName val="0"/>
          <c:showPercent val="0"/>
          <c:showBubbleSize val="0"/>
        </c:dLbls>
        <c:gapWidth val="100"/>
        <c:overlap val="-10"/>
        <c:axId val="35222272"/>
        <c:axId val="35224192"/>
      </c:barChart>
      <c:catAx>
        <c:axId val="35222272"/>
        <c:scaling>
          <c:orientation val="minMax"/>
        </c:scaling>
        <c:delete val="0"/>
        <c:axPos val="b"/>
        <c:title>
          <c:tx>
            <c:rich>
              <a:bodyPr/>
              <a:lstStyle/>
              <a:p>
                <a:pPr>
                  <a:defRPr/>
                </a:pPr>
                <a:r>
                  <a:rPr lang="en-US"/>
                  <a:t>COST</a:t>
                </a:r>
                <a:r>
                  <a:rPr lang="en-US" baseline="0"/>
                  <a:t> CATEGORY</a:t>
                </a:r>
                <a:endParaRPr lang="en-US"/>
              </a:p>
            </c:rich>
          </c:tx>
          <c:overlay val="0"/>
        </c:title>
        <c:majorTickMark val="out"/>
        <c:minorTickMark val="none"/>
        <c:tickLblPos val="nextTo"/>
        <c:crossAx val="35224192"/>
        <c:crosses val="autoZero"/>
        <c:auto val="1"/>
        <c:lblAlgn val="ctr"/>
        <c:lblOffset val="100"/>
        <c:noMultiLvlLbl val="0"/>
      </c:catAx>
      <c:valAx>
        <c:axId val="35224192"/>
        <c:scaling>
          <c:orientation val="minMax"/>
        </c:scaling>
        <c:delete val="0"/>
        <c:axPos val="l"/>
        <c:majorGridlines/>
        <c:title>
          <c:tx>
            <c:rich>
              <a:bodyPr rot="-5400000" vert="horz"/>
              <a:lstStyle/>
              <a:p>
                <a:pPr>
                  <a:defRPr/>
                </a:pPr>
                <a:r>
                  <a:rPr lang="en-US"/>
                  <a:t>AMOUNT</a:t>
                </a:r>
                <a:r>
                  <a:rPr lang="en-US" baseline="0"/>
                  <a:t> US$</a:t>
                </a:r>
                <a:endParaRPr lang="en-US"/>
              </a:p>
            </c:rich>
          </c:tx>
          <c:overlay val="0"/>
        </c:title>
        <c:numFmt formatCode="_(* #,##0_);_(* \(#,##0\);_(* &quot;-&quot;??_);_(@_)" sourceLinked="1"/>
        <c:majorTickMark val="out"/>
        <c:minorTickMark val="none"/>
        <c:tickLblPos val="nextTo"/>
        <c:crossAx val="35222272"/>
        <c:crosses val="autoZero"/>
        <c:crossBetween val="between"/>
      </c:valAx>
    </c:plotArea>
    <c:legend>
      <c:legendPos val="t"/>
      <c:overlay val="0"/>
      <c:txPr>
        <a:bodyPr/>
        <a:lstStyle/>
        <a:p>
          <a:pPr rtl="0">
            <a:defRPr/>
          </a:pPr>
          <a:endParaRPr lang="en-US"/>
        </a:p>
      </c:txPr>
    </c:legend>
    <c:plotVisOnly val="1"/>
    <c:dispBlanksAs val="zero"/>
    <c:showDLblsOverMax val="0"/>
  </c:chart>
  <c:spPr>
    <a:solidFill>
      <a:sysClr val="window" lastClr="FFFFFF"/>
    </a:solidFill>
    <a:ln w="25400" cap="flat" cmpd="sng" algn="ctr">
      <a:solidFill>
        <a:srgbClr val="4F81BD"/>
      </a:solidFill>
      <a:prstDash val="solid"/>
    </a:ln>
    <a:effectLst>
      <a:outerShdw blurRad="50800" dist="50800" dir="5400000" algn="ctr" rotWithShape="0">
        <a:srgbClr val="000000"/>
      </a:outerShdw>
    </a:effectLst>
  </c:spPr>
  <c:txPr>
    <a:bodyPr/>
    <a:lstStyle/>
    <a:p>
      <a:pPr>
        <a:defRPr>
          <a:solidFill>
            <a:sysClr val="windowText" lastClr="000000"/>
          </a:solidFill>
          <a:latin typeface="+mn-lt"/>
          <a:ea typeface="+mn-ea"/>
          <a:cs typeface="+mn-cs"/>
        </a:defRPr>
      </a:pPr>
      <a:endParaRPr lang="en-US"/>
    </a:p>
  </c:txPr>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16</xdr:col>
      <xdr:colOff>76200</xdr:colOff>
      <xdr:row>1</xdr:row>
      <xdr:rowOff>95250</xdr:rowOff>
    </xdr:from>
    <xdr:to>
      <xdr:col>22</xdr:col>
      <xdr:colOff>628650</xdr:colOff>
      <xdr:row>22</xdr:row>
      <xdr:rowOff>114300</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xdr:row>
      <xdr:rowOff>0</xdr:rowOff>
    </xdr:from>
    <xdr:to>
      <xdr:col>14</xdr:col>
      <xdr:colOff>609600</xdr:colOff>
      <xdr:row>31</xdr:row>
      <xdr:rowOff>152400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36</xdr:row>
      <xdr:rowOff>0</xdr:rowOff>
    </xdr:from>
    <xdr:to>
      <xdr:col>14</xdr:col>
      <xdr:colOff>609600</xdr:colOff>
      <xdr:row>64</xdr:row>
      <xdr:rowOff>152400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83</xdr:row>
      <xdr:rowOff>0</xdr:rowOff>
    </xdr:from>
    <xdr:to>
      <xdr:col>14</xdr:col>
      <xdr:colOff>609600</xdr:colOff>
      <xdr:row>111</xdr:row>
      <xdr:rowOff>152400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0.15625</cdr:x>
      <cdr:y>0.35069</cdr:y>
    </cdr:from>
    <cdr:to>
      <cdr:x>0.35</cdr:x>
      <cdr:y>0.78472</cdr:y>
    </cdr:to>
    <cdr:sp macro="" textlink="">
      <cdr:nvSpPr>
        <cdr:cNvPr id="2" name="ZoneTexte 1"/>
        <cdr:cNvSpPr txBox="1"/>
      </cdr:nvSpPr>
      <cdr:spPr>
        <a:xfrm xmlns:a="http://schemas.openxmlformats.org/drawingml/2006/main">
          <a:off x="714375" y="962024"/>
          <a:ext cx="885825" cy="1190625"/>
        </a:xfrm>
        <a:prstGeom xmlns:a="http://schemas.openxmlformats.org/drawingml/2006/main" prst="rect">
          <a:avLst/>
        </a:prstGeom>
      </cdr:spPr>
      <cdr:txBody>
        <a:bodyPr xmlns:a="http://schemas.openxmlformats.org/drawingml/2006/main" vertOverflow="clip" vert="vert" wrap="square" rtlCol="0"/>
        <a:lstStyle xmlns:a="http://schemas.openxmlformats.org/drawingml/2006/main"/>
        <a:p xmlns:a="http://schemas.openxmlformats.org/drawingml/2006/main">
          <a:r>
            <a:rPr lang="en-US" sz="1100"/>
            <a:t>Ressources Extrabudgetaires 63,78%</a:t>
          </a:r>
        </a:p>
      </cdr:txBody>
    </cdr:sp>
  </cdr:relSizeAnchor>
  <cdr:relSizeAnchor xmlns:cdr="http://schemas.openxmlformats.org/drawingml/2006/chartDrawing">
    <cdr:from>
      <cdr:x>0.38542</cdr:x>
      <cdr:y>0.13889</cdr:y>
    </cdr:from>
    <cdr:to>
      <cdr:x>0.525</cdr:x>
      <cdr:y>0.28472</cdr:y>
    </cdr:to>
    <cdr:sp macro="" textlink="">
      <cdr:nvSpPr>
        <cdr:cNvPr id="3" name="ZoneTexte 2"/>
        <cdr:cNvSpPr txBox="1"/>
      </cdr:nvSpPr>
      <cdr:spPr>
        <a:xfrm xmlns:a="http://schemas.openxmlformats.org/drawingml/2006/main">
          <a:off x="1762125" y="381000"/>
          <a:ext cx="638175" cy="400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0.37083</cdr:x>
      <cdr:y>0.07986</cdr:y>
    </cdr:from>
    <cdr:to>
      <cdr:x>0.49167</cdr:x>
      <cdr:y>0.3125</cdr:y>
    </cdr:to>
    <cdr:sp macro="" textlink="">
      <cdr:nvSpPr>
        <cdr:cNvPr id="4" name="ZoneTexte 3"/>
        <cdr:cNvSpPr txBox="1"/>
      </cdr:nvSpPr>
      <cdr:spPr>
        <a:xfrm xmlns:a="http://schemas.openxmlformats.org/drawingml/2006/main">
          <a:off x="1695450" y="219075"/>
          <a:ext cx="552449" cy="638175"/>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r>
            <a:rPr lang="en-US" sz="1100"/>
            <a:t>UN </a:t>
          </a:r>
          <a:r>
            <a:rPr lang="en-US" sz="800"/>
            <a:t>Grant</a:t>
          </a:r>
          <a:r>
            <a:rPr lang="en-US" sz="1100"/>
            <a:t> 13,13%</a:t>
          </a:r>
        </a:p>
        <a:p xmlns:a="http://schemas.openxmlformats.org/drawingml/2006/main">
          <a:endParaRPr lang="en-US" sz="1100"/>
        </a:p>
      </cdr:txBody>
    </cdr:sp>
  </cdr:relSizeAnchor>
  <cdr:relSizeAnchor xmlns:cdr="http://schemas.openxmlformats.org/drawingml/2006/chartDrawing">
    <cdr:from>
      <cdr:x>0.43125</cdr:x>
      <cdr:y>0.37047</cdr:y>
    </cdr:from>
    <cdr:to>
      <cdr:x>0.62708</cdr:x>
      <cdr:y>0.47911</cdr:y>
    </cdr:to>
    <cdr:sp macro="" textlink="">
      <cdr:nvSpPr>
        <cdr:cNvPr id="5" name="ZoneTexte 4"/>
        <cdr:cNvSpPr txBox="1"/>
      </cdr:nvSpPr>
      <cdr:spPr>
        <a:xfrm xmlns:a="http://schemas.openxmlformats.org/drawingml/2006/main">
          <a:off x="2209919" y="1266824"/>
          <a:ext cx="1003522"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t>Contributions 12,12%</a:t>
          </a:r>
        </a:p>
      </cdr:txBody>
    </cdr:sp>
  </cdr:relSizeAnchor>
  <cdr:relSizeAnchor xmlns:cdr="http://schemas.openxmlformats.org/drawingml/2006/chartDrawing">
    <cdr:from>
      <cdr:x>0.41422</cdr:x>
      <cdr:y>0.51042</cdr:y>
    </cdr:from>
    <cdr:to>
      <cdr:x>0.62513</cdr:x>
      <cdr:y>0.57639</cdr:y>
    </cdr:to>
    <cdr:sp macro="" textlink="">
      <cdr:nvSpPr>
        <cdr:cNvPr id="6" name="ZoneTexte 5"/>
        <cdr:cNvSpPr txBox="1"/>
      </cdr:nvSpPr>
      <cdr:spPr>
        <a:xfrm xmlns:a="http://schemas.openxmlformats.org/drawingml/2006/main">
          <a:off x="2051923" y="1400174"/>
          <a:ext cx="1044198"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t>Tuition Fees 8,08%</a:t>
          </a:r>
        </a:p>
      </cdr:txBody>
    </cdr:sp>
  </cdr:relSizeAnchor>
  <cdr:relSizeAnchor xmlns:cdr="http://schemas.openxmlformats.org/drawingml/2006/chartDrawing">
    <cdr:from>
      <cdr:x>0.51301</cdr:x>
      <cdr:y>0.02785</cdr:y>
    </cdr:from>
    <cdr:to>
      <cdr:x>0.99257</cdr:x>
      <cdr:y>0.10028</cdr:y>
    </cdr:to>
    <cdr:sp macro="" textlink="">
      <cdr:nvSpPr>
        <cdr:cNvPr id="7" name="ZoneTexte 6"/>
        <cdr:cNvSpPr txBox="1"/>
      </cdr:nvSpPr>
      <cdr:spPr>
        <a:xfrm xmlns:a="http://schemas.openxmlformats.org/drawingml/2006/main">
          <a:off x="2628901" y="95249"/>
          <a:ext cx="24574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81"/>
  <sheetViews>
    <sheetView topLeftCell="A13" workbookViewId="0">
      <selection activeCell="C23" sqref="C23"/>
    </sheetView>
  </sheetViews>
  <sheetFormatPr defaultColWidth="11.42578125" defaultRowHeight="12.75" x14ac:dyDescent="0.2"/>
  <cols>
    <col min="2" max="2" width="25.28515625" customWidth="1"/>
    <col min="3" max="3" width="15.28515625" customWidth="1"/>
    <col min="4" max="4" width="13.140625" style="89" bestFit="1" customWidth="1"/>
    <col min="5" max="5" width="14.28515625" bestFit="1" customWidth="1"/>
    <col min="258" max="258" width="21" customWidth="1"/>
    <col min="514" max="514" width="21" customWidth="1"/>
    <col min="770" max="770" width="21" customWidth="1"/>
    <col min="1026" max="1026" width="21" customWidth="1"/>
    <col min="1282" max="1282" width="21" customWidth="1"/>
    <col min="1538" max="1538" width="21" customWidth="1"/>
    <col min="1794" max="1794" width="21" customWidth="1"/>
    <col min="2050" max="2050" width="21" customWidth="1"/>
    <col min="2306" max="2306" width="21" customWidth="1"/>
    <col min="2562" max="2562" width="21" customWidth="1"/>
    <col min="2818" max="2818" width="21" customWidth="1"/>
    <col min="3074" max="3074" width="21" customWidth="1"/>
    <col min="3330" max="3330" width="21" customWidth="1"/>
    <col min="3586" max="3586" width="21" customWidth="1"/>
    <col min="3842" max="3842" width="21" customWidth="1"/>
    <col min="4098" max="4098" width="21" customWidth="1"/>
    <col min="4354" max="4354" width="21" customWidth="1"/>
    <col min="4610" max="4610" width="21" customWidth="1"/>
    <col min="4866" max="4866" width="21" customWidth="1"/>
    <col min="5122" max="5122" width="21" customWidth="1"/>
    <col min="5378" max="5378" width="21" customWidth="1"/>
    <col min="5634" max="5634" width="21" customWidth="1"/>
    <col min="5890" max="5890" width="21" customWidth="1"/>
    <col min="6146" max="6146" width="21" customWidth="1"/>
    <col min="6402" max="6402" width="21" customWidth="1"/>
    <col min="6658" max="6658" width="21" customWidth="1"/>
    <col min="6914" max="6914" width="21" customWidth="1"/>
    <col min="7170" max="7170" width="21" customWidth="1"/>
    <col min="7426" max="7426" width="21" customWidth="1"/>
    <col min="7682" max="7682" width="21" customWidth="1"/>
    <col min="7938" max="7938" width="21" customWidth="1"/>
    <col min="8194" max="8194" width="21" customWidth="1"/>
    <col min="8450" max="8450" width="21" customWidth="1"/>
    <col min="8706" max="8706" width="21" customWidth="1"/>
    <col min="8962" max="8962" width="21" customWidth="1"/>
    <col min="9218" max="9218" width="21" customWidth="1"/>
    <col min="9474" max="9474" width="21" customWidth="1"/>
    <col min="9730" max="9730" width="21" customWidth="1"/>
    <col min="9986" max="9986" width="21" customWidth="1"/>
    <col min="10242" max="10242" width="21" customWidth="1"/>
    <col min="10498" max="10498" width="21" customWidth="1"/>
    <col min="10754" max="10754" width="21" customWidth="1"/>
    <col min="11010" max="11010" width="21" customWidth="1"/>
    <col min="11266" max="11266" width="21" customWidth="1"/>
    <col min="11522" max="11522" width="21" customWidth="1"/>
    <col min="11778" max="11778" width="21" customWidth="1"/>
    <col min="12034" max="12034" width="21" customWidth="1"/>
    <col min="12290" max="12290" width="21" customWidth="1"/>
    <col min="12546" max="12546" width="21" customWidth="1"/>
    <col min="12802" max="12802" width="21" customWidth="1"/>
    <col min="13058" max="13058" width="21" customWidth="1"/>
    <col min="13314" max="13314" width="21" customWidth="1"/>
    <col min="13570" max="13570" width="21" customWidth="1"/>
    <col min="13826" max="13826" width="21" customWidth="1"/>
    <col min="14082" max="14082" width="21" customWidth="1"/>
    <col min="14338" max="14338" width="21" customWidth="1"/>
    <col min="14594" max="14594" width="21" customWidth="1"/>
    <col min="14850" max="14850" width="21" customWidth="1"/>
    <col min="15106" max="15106" width="21" customWidth="1"/>
    <col min="15362" max="15362" width="21" customWidth="1"/>
    <col min="15618" max="15618" width="21" customWidth="1"/>
    <col min="15874" max="15874" width="21" customWidth="1"/>
    <col min="16130" max="16130" width="21" customWidth="1"/>
  </cols>
  <sheetData>
    <row r="3" spans="2:4" x14ac:dyDescent="0.2">
      <c r="C3" s="28">
        <v>2016</v>
      </c>
    </row>
    <row r="5" spans="2:4" x14ac:dyDescent="0.2">
      <c r="B5" t="s">
        <v>79</v>
      </c>
      <c r="C5" s="150">
        <v>1300000</v>
      </c>
      <c r="D5" s="94">
        <f>+C5/C10</f>
        <v>0.19813750743015654</v>
      </c>
    </row>
    <row r="6" spans="2:4" x14ac:dyDescent="0.2">
      <c r="B6" t="s">
        <v>80</v>
      </c>
      <c r="C6" s="150">
        <f>600000</f>
        <v>600000</v>
      </c>
      <c r="D6" s="94">
        <f>+C6/C10</f>
        <v>9.1448080352379932E-2</v>
      </c>
    </row>
    <row r="7" spans="2:4" x14ac:dyDescent="0.2">
      <c r="B7" s="105" t="s">
        <v>287</v>
      </c>
      <c r="C7" s="150">
        <f>1000000</f>
        <v>1000000</v>
      </c>
      <c r="D7" s="94">
        <f>C7/C10</f>
        <v>0.15241346725396657</v>
      </c>
    </row>
    <row r="8" spans="2:4" x14ac:dyDescent="0.2">
      <c r="B8" s="105" t="s">
        <v>278</v>
      </c>
      <c r="C8" s="150">
        <f>250000</f>
        <v>250000</v>
      </c>
      <c r="D8" s="94">
        <f>+C8/C10</f>
        <v>3.8103366813491642E-2</v>
      </c>
    </row>
    <row r="9" spans="2:4" x14ac:dyDescent="0.2">
      <c r="B9" s="105" t="s">
        <v>277</v>
      </c>
      <c r="C9" s="150">
        <f>Summary!$E$13-SUM(Graphs!$C$5:$C$8)</f>
        <v>3411100</v>
      </c>
      <c r="D9" s="94">
        <f>+C9/C10</f>
        <v>0.51989757815000537</v>
      </c>
    </row>
    <row r="10" spans="2:4" x14ac:dyDescent="0.2">
      <c r="C10" s="150">
        <f>SUM(C4:C9)</f>
        <v>6561100</v>
      </c>
    </row>
    <row r="22" spans="3:3" x14ac:dyDescent="0.2">
      <c r="C22" s="2"/>
    </row>
    <row r="33" spans="2:4" x14ac:dyDescent="0.2">
      <c r="C33" s="28">
        <v>2017</v>
      </c>
    </row>
    <row r="35" spans="2:4" x14ac:dyDescent="0.2">
      <c r="B35" t="s">
        <v>79</v>
      </c>
      <c r="C35" s="150">
        <v>1300000</v>
      </c>
      <c r="D35" s="94">
        <f>+C35/C39</f>
        <v>0.27517981781535106</v>
      </c>
    </row>
    <row r="36" spans="2:4" x14ac:dyDescent="0.2">
      <c r="B36" t="s">
        <v>80</v>
      </c>
      <c r="C36" s="150">
        <f>600000</f>
        <v>600000</v>
      </c>
      <c r="D36" s="94">
        <f>+C36/C39</f>
        <v>0.12700606976093126</v>
      </c>
    </row>
    <row r="37" spans="2:4" x14ac:dyDescent="0.2">
      <c r="B37" s="105" t="s">
        <v>278</v>
      </c>
      <c r="C37" s="150">
        <v>344221</v>
      </c>
      <c r="D37" s="94">
        <f>+C37/C39</f>
        <v>7.2863593898629203E-2</v>
      </c>
    </row>
    <row r="38" spans="2:4" x14ac:dyDescent="0.2">
      <c r="B38" s="105" t="s">
        <v>293</v>
      </c>
      <c r="C38" s="150">
        <f>Summary!$K$13-SUM(Graphs!$C$35:$C$37)</f>
        <v>2479962.6640516836</v>
      </c>
      <c r="D38" s="94">
        <f>+C38/C39</f>
        <v>0.52495051852508845</v>
      </c>
    </row>
    <row r="39" spans="2:4" x14ac:dyDescent="0.2">
      <c r="C39" s="150">
        <f>SUM(C35:C38)</f>
        <v>4724183.6640516836</v>
      </c>
    </row>
    <row r="42" spans="2:4" x14ac:dyDescent="0.2">
      <c r="C42" s="153"/>
    </row>
    <row r="43" spans="2:4" x14ac:dyDescent="0.2">
      <c r="C43" s="153"/>
    </row>
    <row r="44" spans="2:4" x14ac:dyDescent="0.2">
      <c r="C44" s="299"/>
    </row>
    <row r="71" spans="2:6" ht="13.5" thickBot="1" x14ac:dyDescent="0.25"/>
    <row r="72" spans="2:6" ht="17.25" thickTop="1" thickBot="1" x14ac:dyDescent="0.25">
      <c r="B72" s="333" t="s">
        <v>282</v>
      </c>
      <c r="C72" s="335">
        <v>2016</v>
      </c>
      <c r="D72" s="336"/>
      <c r="E72" s="335">
        <v>2017</v>
      </c>
      <c r="F72" s="337"/>
    </row>
    <row r="73" spans="2:6" ht="18" customHeight="1" thickBot="1" x14ac:dyDescent="0.25">
      <c r="B73" s="334"/>
      <c r="C73" s="95" t="s">
        <v>281</v>
      </c>
      <c r="D73" s="95" t="s">
        <v>81</v>
      </c>
      <c r="E73" s="95" t="s">
        <v>281</v>
      </c>
      <c r="F73" s="96" t="s">
        <v>81</v>
      </c>
    </row>
    <row r="74" spans="2:6" ht="16.5" thickBot="1" x14ac:dyDescent="0.25">
      <c r="B74" s="97" t="s">
        <v>83</v>
      </c>
      <c r="C74" s="101">
        <f>Summary!E6</f>
        <v>3722250</v>
      </c>
      <c r="D74" s="281">
        <f t="shared" ref="D74:D79" si="0">C74/$C$80</f>
        <v>0.56732102848607702</v>
      </c>
      <c r="E74" s="101">
        <f>Summary!K6</f>
        <v>2224195.9160129209</v>
      </c>
      <c r="F74" s="282">
        <f t="shared" ref="F74:F79" si="1">E74/$E$80</f>
        <v>0.47081063611852575</v>
      </c>
    </row>
    <row r="75" spans="2:6" ht="16.5" thickBot="1" x14ac:dyDescent="0.25">
      <c r="B75" s="97" t="s">
        <v>84</v>
      </c>
      <c r="C75" s="101">
        <f>Summary!E7</f>
        <v>424750</v>
      </c>
      <c r="D75" s="281">
        <f t="shared" si="0"/>
        <v>6.4737620216122296E-2</v>
      </c>
      <c r="E75" s="101">
        <f>Summary!K7</f>
        <v>437877.54960775265</v>
      </c>
      <c r="F75" s="282">
        <f t="shared" si="1"/>
        <v>9.2688511020379782E-2</v>
      </c>
    </row>
    <row r="76" spans="2:6" ht="16.5" thickBot="1" x14ac:dyDescent="0.25">
      <c r="B76" s="97" t="s">
        <v>279</v>
      </c>
      <c r="C76" s="101">
        <f>Summary!E8</f>
        <v>1073550</v>
      </c>
      <c r="D76" s="281">
        <f t="shared" si="0"/>
        <v>0.1636234777704958</v>
      </c>
      <c r="E76" s="101">
        <f>Summary!K8</f>
        <v>765179.58929395478</v>
      </c>
      <c r="F76" s="282">
        <f t="shared" si="1"/>
        <v>0.16197075382918125</v>
      </c>
    </row>
    <row r="77" spans="2:6" ht="16.5" thickBot="1" x14ac:dyDescent="0.25">
      <c r="B77" s="97" t="s">
        <v>284</v>
      </c>
      <c r="C77" s="101">
        <f>Summary!E9</f>
        <v>105950</v>
      </c>
      <c r="D77" s="281">
        <f t="shared" si="0"/>
        <v>1.6148206855557758E-2</v>
      </c>
      <c r="E77" s="101">
        <f>Summary!K9</f>
        <v>110575.50992155052</v>
      </c>
      <c r="F77" s="282">
        <f t="shared" si="1"/>
        <v>2.3406268211578322E-2</v>
      </c>
    </row>
    <row r="78" spans="2:6" ht="16.5" thickBot="1" x14ac:dyDescent="0.25">
      <c r="B78" s="97" t="s">
        <v>280</v>
      </c>
      <c r="C78" s="101">
        <f>Summary!E10</f>
        <v>559500</v>
      </c>
      <c r="D78" s="281">
        <f t="shared" si="0"/>
        <v>8.5275334928594293E-2</v>
      </c>
      <c r="E78" s="101">
        <f>Summary!K10</f>
        <v>605755.0992155053</v>
      </c>
      <c r="F78" s="282">
        <f t="shared" si="1"/>
        <v>0.12822429064834051</v>
      </c>
    </row>
    <row r="79" spans="2:6" ht="16.5" thickBot="1" x14ac:dyDescent="0.25">
      <c r="B79" s="97" t="s">
        <v>275</v>
      </c>
      <c r="C79" s="101">
        <f>Summary!E11</f>
        <v>675100</v>
      </c>
      <c r="D79" s="281">
        <f t="shared" si="0"/>
        <v>0.10289433174315282</v>
      </c>
      <c r="E79" s="101">
        <f>Summary!K11</f>
        <v>580600</v>
      </c>
      <c r="F79" s="282">
        <f t="shared" si="1"/>
        <v>0.12289954017199449</v>
      </c>
    </row>
    <row r="80" spans="2:6" ht="16.5" thickBot="1" x14ac:dyDescent="0.25">
      <c r="B80" s="98" t="s">
        <v>82</v>
      </c>
      <c r="C80" s="102">
        <f>SUM(C74:C79)</f>
        <v>6561100</v>
      </c>
      <c r="D80" s="99"/>
      <c r="E80" s="103">
        <f>SUM(E74:E79)</f>
        <v>4724183.6640516836</v>
      </c>
      <c r="F80" s="100"/>
    </row>
    <row r="81" ht="13.5" thickTop="1" x14ac:dyDescent="0.2"/>
  </sheetData>
  <mergeCells count="3">
    <mergeCell ref="B72:B73"/>
    <mergeCell ref="C72:D72"/>
    <mergeCell ref="E72:F72"/>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opLeftCell="A14" workbookViewId="0">
      <selection activeCell="J24" sqref="J24"/>
    </sheetView>
  </sheetViews>
  <sheetFormatPr defaultRowHeight="12.75" x14ac:dyDescent="0.2"/>
  <cols>
    <col min="2" max="2" width="27.28515625" customWidth="1"/>
    <col min="3" max="3" width="15" bestFit="1" customWidth="1"/>
    <col min="4" max="5" width="15" customWidth="1"/>
    <col min="6" max="7" width="11.140625" customWidth="1"/>
    <col min="8" max="8" width="28" bestFit="1" customWidth="1"/>
    <col min="9" max="9" width="15.5703125" customWidth="1"/>
    <col min="10" max="11" width="12.140625" customWidth="1"/>
    <col min="12" max="12" width="9.7109375" customWidth="1"/>
    <col min="13" max="13" width="12.85546875" bestFit="1" customWidth="1"/>
  </cols>
  <sheetData>
    <row r="1" spans="1:16" ht="13.5" thickBot="1" x14ac:dyDescent="0.25">
      <c r="A1" s="106"/>
      <c r="B1" s="106"/>
      <c r="C1" s="106"/>
      <c r="D1" s="106"/>
      <c r="E1" s="106"/>
      <c r="F1" s="106"/>
      <c r="G1" s="106"/>
      <c r="H1" s="106"/>
      <c r="I1" s="106"/>
      <c r="J1" s="106"/>
      <c r="K1" s="106"/>
      <c r="L1" s="235"/>
      <c r="M1" s="106"/>
      <c r="N1" s="106"/>
      <c r="O1" s="106"/>
      <c r="P1" s="106"/>
    </row>
    <row r="2" spans="1:16" ht="13.5" thickBot="1" x14ac:dyDescent="0.25">
      <c r="A2" s="107" t="s">
        <v>88</v>
      </c>
      <c r="B2" s="276" t="s">
        <v>243</v>
      </c>
      <c r="C2" s="277"/>
      <c r="D2" s="277"/>
      <c r="E2" s="277"/>
      <c r="F2" s="278"/>
      <c r="G2" s="280"/>
      <c r="H2" s="280"/>
      <c r="I2" s="296"/>
      <c r="J2" s="296"/>
      <c r="K2" s="296"/>
      <c r="L2" s="296"/>
      <c r="M2" s="106"/>
      <c r="N2" s="106"/>
      <c r="O2" s="106"/>
      <c r="P2" s="106"/>
    </row>
    <row r="3" spans="1:16" ht="13.5" thickBot="1" x14ac:dyDescent="0.25">
      <c r="A3" s="297"/>
      <c r="B3" s="280"/>
      <c r="C3" s="279"/>
      <c r="D3" s="279"/>
      <c r="E3" s="279"/>
      <c r="F3" s="279"/>
      <c r="G3" s="280"/>
      <c r="H3" s="280"/>
      <c r="I3" s="298"/>
      <c r="J3" s="298"/>
      <c r="K3" s="298"/>
      <c r="L3" s="298"/>
      <c r="M3" s="106"/>
      <c r="N3" s="106"/>
      <c r="O3" s="106"/>
      <c r="P3" s="106"/>
    </row>
    <row r="4" spans="1:16" ht="13.5" thickBot="1" x14ac:dyDescent="0.25">
      <c r="A4" s="106"/>
      <c r="B4" s="340" t="s">
        <v>282</v>
      </c>
      <c r="C4" s="348">
        <v>2016</v>
      </c>
      <c r="D4" s="349"/>
      <c r="E4" s="350"/>
      <c r="F4" s="338" t="s">
        <v>81</v>
      </c>
      <c r="G4" s="295"/>
      <c r="H4" s="340" t="s">
        <v>282</v>
      </c>
      <c r="I4" s="349">
        <v>2017</v>
      </c>
      <c r="J4" s="349"/>
      <c r="K4" s="350"/>
      <c r="L4" s="338" t="s">
        <v>81</v>
      </c>
      <c r="M4" s="106"/>
      <c r="N4" s="106"/>
      <c r="O4" s="106"/>
      <c r="P4" s="106"/>
    </row>
    <row r="5" spans="1:16" ht="13.5" thickBot="1" x14ac:dyDescent="0.25">
      <c r="A5" s="106"/>
      <c r="B5" s="341"/>
      <c r="C5" s="266" t="s">
        <v>272</v>
      </c>
      <c r="D5" s="266" t="s">
        <v>273</v>
      </c>
      <c r="E5" s="266" t="s">
        <v>82</v>
      </c>
      <c r="F5" s="339"/>
      <c r="G5" s="295"/>
      <c r="H5" s="341"/>
      <c r="I5" s="262" t="s">
        <v>272</v>
      </c>
      <c r="J5" s="266" t="s">
        <v>273</v>
      </c>
      <c r="K5" s="266" t="s">
        <v>82</v>
      </c>
      <c r="L5" s="339"/>
      <c r="M5" s="106"/>
      <c r="N5" s="106"/>
      <c r="O5" s="106"/>
      <c r="P5" s="106"/>
    </row>
    <row r="6" spans="1:16" x14ac:dyDescent="0.2">
      <c r="A6" s="106"/>
      <c r="B6" s="263" t="s">
        <v>83</v>
      </c>
      <c r="C6" s="267">
        <f>'Annex 6 2016 RB XB'!K18</f>
        <v>3256000</v>
      </c>
      <c r="D6" s="267">
        <f>'Annex 6 2016 RB XB'!$K$21*0.25</f>
        <v>466250</v>
      </c>
      <c r="E6" s="267">
        <f>C6+D6</f>
        <v>3722250</v>
      </c>
      <c r="F6" s="273">
        <f>E6/$E$13</f>
        <v>0.56732102848607702</v>
      </c>
      <c r="G6" s="293"/>
      <c r="H6" s="263" t="s">
        <v>83</v>
      </c>
      <c r="I6" s="267">
        <f>'Annex 7 2017 RB XB'!I13</f>
        <v>1719400</v>
      </c>
      <c r="J6" s="267">
        <f>'Annex 7 2017 RB XB'!$I$16*0.25</f>
        <v>504795.91601292108</v>
      </c>
      <c r="K6" s="267">
        <f>I6+J6</f>
        <v>2224195.9160129209</v>
      </c>
      <c r="L6" s="273">
        <f>K6/$K$13</f>
        <v>0.47081063611852575</v>
      </c>
      <c r="M6" s="106"/>
      <c r="N6" s="106"/>
      <c r="O6" s="106"/>
      <c r="P6" s="106"/>
    </row>
    <row r="7" spans="1:16" x14ac:dyDescent="0.2">
      <c r="A7" s="106"/>
      <c r="B7" s="264" t="s">
        <v>84</v>
      </c>
      <c r="C7" s="268">
        <f>'Annex 6 2016 RB XB'!K19</f>
        <v>145000</v>
      </c>
      <c r="D7" s="268">
        <f>'Annex 6 2016 RB XB'!$K$21*0.15</f>
        <v>279750</v>
      </c>
      <c r="E7" s="268">
        <f>C7+D7</f>
        <v>424750</v>
      </c>
      <c r="F7" s="274">
        <f>E7/$E$13</f>
        <v>6.4737620216122296E-2</v>
      </c>
      <c r="G7" s="293"/>
      <c r="H7" s="264" t="s">
        <v>84</v>
      </c>
      <c r="I7" s="268">
        <f>'Annex 7 2017 RB XB'!I14</f>
        <v>135000</v>
      </c>
      <c r="J7" s="268">
        <f>'Annex 7 2017 RB XB'!$I$16*0.15</f>
        <v>302877.54960775265</v>
      </c>
      <c r="K7" s="268">
        <f>I7+J7</f>
        <v>437877.54960775265</v>
      </c>
      <c r="L7" s="118">
        <f>K7/$K$13</f>
        <v>9.2688511020379782E-2</v>
      </c>
      <c r="M7" s="106"/>
      <c r="N7" s="106"/>
      <c r="O7" s="106"/>
      <c r="P7" s="106"/>
    </row>
    <row r="8" spans="1:16" x14ac:dyDescent="0.2">
      <c r="A8" s="106"/>
      <c r="B8" s="264" t="s">
        <v>274</v>
      </c>
      <c r="C8" s="268">
        <f>'Annex 6 2016 RB XB'!K22</f>
        <v>570000</v>
      </c>
      <c r="D8" s="268">
        <f>'Annex 6 2016 RB XB'!$K$21*0.27</f>
        <v>503550.00000000006</v>
      </c>
      <c r="E8" s="268">
        <f t="shared" ref="E8:E11" si="0">C8+D8</f>
        <v>1073550</v>
      </c>
      <c r="F8" s="274">
        <f t="shared" ref="F8:F11" si="1">E8/$E$13</f>
        <v>0.1636234777704958</v>
      </c>
      <c r="G8" s="293"/>
      <c r="H8" s="264" t="s">
        <v>274</v>
      </c>
      <c r="I8" s="268">
        <f>'Annex 7 2017 RB XB'!I17</f>
        <v>220000</v>
      </c>
      <c r="J8" s="268">
        <f>'Annex 7 2017 RB XB'!$I$16*0.27</f>
        <v>545179.58929395478</v>
      </c>
      <c r="K8" s="268">
        <f t="shared" ref="K8:K11" si="2">I8+J8</f>
        <v>765179.58929395478</v>
      </c>
      <c r="L8" s="118">
        <f t="shared" ref="L8:L11" si="3">K8/$K$13</f>
        <v>0.16197075382918125</v>
      </c>
      <c r="M8" s="106"/>
      <c r="N8" s="106"/>
      <c r="O8" s="106"/>
      <c r="P8" s="106"/>
    </row>
    <row r="9" spans="1:16" x14ac:dyDescent="0.2">
      <c r="A9" s="106"/>
      <c r="B9" s="264" t="s">
        <v>85</v>
      </c>
      <c r="C9" s="268">
        <f>'Annex 6 2016 RB XB'!K20</f>
        <v>50000</v>
      </c>
      <c r="D9" s="268">
        <f>'Annex 6 2016 RB XB'!$K$21*0.03</f>
        <v>55950</v>
      </c>
      <c r="E9" s="268">
        <f t="shared" si="0"/>
        <v>105950</v>
      </c>
      <c r="F9" s="274">
        <f t="shared" si="1"/>
        <v>1.6148206855557758E-2</v>
      </c>
      <c r="G9" s="293"/>
      <c r="H9" s="264" t="s">
        <v>85</v>
      </c>
      <c r="I9" s="268">
        <f>'Annex 7 2017 RB XB'!I15</f>
        <v>50000</v>
      </c>
      <c r="J9" s="268">
        <f>'Annex 7 2017 RB XB'!$I$16*0.03</f>
        <v>60575.509921550525</v>
      </c>
      <c r="K9" s="268">
        <f t="shared" si="2"/>
        <v>110575.50992155052</v>
      </c>
      <c r="L9" s="118">
        <f t="shared" si="3"/>
        <v>2.3406268211578322E-2</v>
      </c>
      <c r="M9" s="106"/>
      <c r="N9" s="106"/>
      <c r="O9" s="106"/>
      <c r="P9" s="106"/>
    </row>
    <row r="10" spans="1:16" x14ac:dyDescent="0.2">
      <c r="A10" s="106"/>
      <c r="B10" s="264" t="s">
        <v>283</v>
      </c>
      <c r="C10" s="268"/>
      <c r="D10" s="268">
        <f>'Annex 6 2016 RB XB'!$K$21*0.3</f>
        <v>559500</v>
      </c>
      <c r="E10" s="268">
        <f t="shared" si="0"/>
        <v>559500</v>
      </c>
      <c r="F10" s="274">
        <f t="shared" si="1"/>
        <v>8.5275334928594293E-2</v>
      </c>
      <c r="G10" s="293"/>
      <c r="H10" s="264" t="s">
        <v>283</v>
      </c>
      <c r="I10" s="268"/>
      <c r="J10" s="268">
        <f>'Annex 7 2017 RB XB'!$I$16*0.3</f>
        <v>605755.0992155053</v>
      </c>
      <c r="K10" s="268">
        <f t="shared" si="2"/>
        <v>605755.0992155053</v>
      </c>
      <c r="L10" s="118">
        <f t="shared" si="3"/>
        <v>0.12822429064834051</v>
      </c>
      <c r="M10" s="106"/>
      <c r="N10" s="106"/>
      <c r="O10" s="106"/>
      <c r="P10" s="106"/>
    </row>
    <row r="11" spans="1:16" ht="13.5" thickBot="1" x14ac:dyDescent="0.25">
      <c r="A11" s="106"/>
      <c r="B11" s="265" t="s">
        <v>275</v>
      </c>
      <c r="C11" s="269">
        <f>'Annex 6 2016 RB XB'!K23</f>
        <v>675100</v>
      </c>
      <c r="D11" s="269"/>
      <c r="E11" s="269">
        <f t="shared" si="0"/>
        <v>675100</v>
      </c>
      <c r="F11" s="119">
        <f t="shared" si="1"/>
        <v>0.10289433174315282</v>
      </c>
      <c r="G11" s="293"/>
      <c r="H11" s="265" t="s">
        <v>275</v>
      </c>
      <c r="I11" s="269">
        <f>'Annex 7 2017 RB XB'!I18</f>
        <v>580600</v>
      </c>
      <c r="J11" s="269"/>
      <c r="K11" s="269">
        <f t="shared" si="2"/>
        <v>580600</v>
      </c>
      <c r="L11" s="119">
        <f t="shared" si="3"/>
        <v>0.12289954017199449</v>
      </c>
      <c r="M11" s="106"/>
      <c r="N11" s="106"/>
      <c r="O11" s="106"/>
      <c r="P11" s="106"/>
    </row>
    <row r="12" spans="1:16" x14ac:dyDescent="0.2">
      <c r="A12" s="106"/>
      <c r="B12" s="106"/>
      <c r="C12" s="106"/>
      <c r="D12" s="106"/>
      <c r="E12" s="106"/>
      <c r="F12" s="106"/>
      <c r="G12" s="235"/>
      <c r="H12" s="106"/>
      <c r="I12" s="106"/>
      <c r="J12" s="106"/>
      <c r="K12" s="106"/>
      <c r="L12" s="106"/>
      <c r="M12" s="106"/>
      <c r="N12" s="106"/>
      <c r="O12" s="106"/>
      <c r="P12" s="106"/>
    </row>
    <row r="13" spans="1:16" ht="13.5" thickBot="1" x14ac:dyDescent="0.25">
      <c r="A13" s="106"/>
      <c r="B13" s="111" t="s">
        <v>54</v>
      </c>
      <c r="C13" s="120">
        <f>SUM(C6:C12)</f>
        <v>4696100</v>
      </c>
      <c r="D13" s="120">
        <f t="shared" ref="D13:E13" si="4">SUM(D6:D12)</f>
        <v>1865000</v>
      </c>
      <c r="E13" s="120">
        <f t="shared" si="4"/>
        <v>6561100</v>
      </c>
      <c r="F13" s="116">
        <f>SUM(F6:F11)</f>
        <v>1</v>
      </c>
      <c r="G13" s="294"/>
      <c r="H13" s="111" t="s">
        <v>54</v>
      </c>
      <c r="I13" s="120">
        <f>SUM(I6:I12)</f>
        <v>2705000</v>
      </c>
      <c r="J13" s="120">
        <f t="shared" ref="J13:K13" si="5">SUM(J6:J12)</f>
        <v>2019183.6640516846</v>
      </c>
      <c r="K13" s="120">
        <f t="shared" si="5"/>
        <v>4724183.6640516836</v>
      </c>
      <c r="L13" s="116">
        <f>SUM(L6:L11)</f>
        <v>1</v>
      </c>
      <c r="M13" s="106"/>
      <c r="N13" s="106"/>
      <c r="O13" s="106"/>
      <c r="P13" s="106"/>
    </row>
    <row r="14" spans="1:16" ht="13.5" thickTop="1" x14ac:dyDescent="0.2">
      <c r="A14" s="106"/>
      <c r="B14" s="106"/>
      <c r="C14" s="106"/>
      <c r="D14" s="106"/>
      <c r="E14" s="106"/>
      <c r="F14" s="106"/>
      <c r="G14" s="235"/>
      <c r="H14" s="235"/>
      <c r="I14" s="106"/>
      <c r="J14" s="106"/>
      <c r="K14" s="106"/>
      <c r="L14" s="235"/>
      <c r="M14" s="106"/>
      <c r="N14" s="106"/>
      <c r="O14" s="106"/>
      <c r="P14" s="106"/>
    </row>
    <row r="15" spans="1:16" ht="13.5" thickBot="1" x14ac:dyDescent="0.25">
      <c r="A15" s="106"/>
      <c r="B15" s="106"/>
      <c r="C15" s="106"/>
      <c r="D15" s="106"/>
      <c r="E15" s="106"/>
      <c r="F15" s="106"/>
      <c r="G15" s="235"/>
      <c r="H15" s="235"/>
      <c r="I15" s="106"/>
      <c r="J15" s="106"/>
      <c r="K15" s="106"/>
      <c r="L15" s="235"/>
      <c r="M15" s="106"/>
      <c r="N15" s="106"/>
      <c r="O15" s="106"/>
      <c r="P15" s="106"/>
    </row>
    <row r="16" spans="1:16" ht="13.5" thickBot="1" x14ac:dyDescent="0.25">
      <c r="A16" s="107" t="s">
        <v>89</v>
      </c>
      <c r="B16" s="345" t="s">
        <v>294</v>
      </c>
      <c r="C16" s="346"/>
      <c r="D16" s="346"/>
      <c r="E16" s="346"/>
      <c r="F16" s="346"/>
      <c r="G16" s="346"/>
      <c r="H16" s="347"/>
      <c r="I16" s="280"/>
      <c r="J16" s="280"/>
      <c r="K16" s="280"/>
      <c r="L16" s="280"/>
      <c r="M16" s="106"/>
      <c r="N16" s="106"/>
      <c r="O16" s="106"/>
      <c r="P16" s="106"/>
    </row>
    <row r="17" spans="1:16" ht="13.5" thickBot="1" x14ac:dyDescent="0.25">
      <c r="A17" s="106"/>
      <c r="B17" s="302"/>
      <c r="C17" s="224">
        <v>2016</v>
      </c>
      <c r="D17" s="225" t="s">
        <v>81</v>
      </c>
      <c r="E17" s="224">
        <v>2017</v>
      </c>
      <c r="F17" s="225" t="s">
        <v>81</v>
      </c>
      <c r="G17" s="224" t="s">
        <v>82</v>
      </c>
      <c r="H17" s="301" t="s">
        <v>81</v>
      </c>
      <c r="I17" s="106"/>
      <c r="J17" s="106"/>
      <c r="K17" s="106"/>
      <c r="L17" s="106"/>
      <c r="M17" s="106"/>
      <c r="N17" s="106"/>
      <c r="O17" s="106"/>
      <c r="P17" s="106"/>
    </row>
    <row r="18" spans="1:16" x14ac:dyDescent="0.2">
      <c r="A18" s="106"/>
      <c r="B18" s="108" t="s">
        <v>90</v>
      </c>
      <c r="C18" s="113">
        <f>Graphs!C5</f>
        <v>1300000</v>
      </c>
      <c r="D18" s="117">
        <f>C18/$C$22</f>
        <v>0.19813750743015654</v>
      </c>
      <c r="E18" s="113">
        <f>Graphs!C35</f>
        <v>1300000</v>
      </c>
      <c r="F18" s="270">
        <f>E18/$E$22</f>
        <v>0.27517981781535106</v>
      </c>
      <c r="G18" s="113">
        <f>C18+E18</f>
        <v>2600000</v>
      </c>
      <c r="H18" s="117">
        <f>G18/$G$22</f>
        <v>0.23038853762108613</v>
      </c>
      <c r="I18" s="106"/>
      <c r="J18" s="106"/>
      <c r="K18" s="106"/>
      <c r="L18" s="106"/>
      <c r="M18" s="106"/>
      <c r="N18" s="106"/>
      <c r="O18" s="106"/>
      <c r="P18" s="106"/>
    </row>
    <row r="19" spans="1:16" x14ac:dyDescent="0.2">
      <c r="A19" s="106"/>
      <c r="B19" s="109" t="s">
        <v>91</v>
      </c>
      <c r="C19" s="114">
        <f>SUM(Graphs!$C$6:$C$8)</f>
        <v>1850000</v>
      </c>
      <c r="D19" s="118">
        <f t="shared" ref="D19:D20" si="6">C19/$C$22</f>
        <v>0.28196491441983812</v>
      </c>
      <c r="E19" s="114">
        <f>SUM(Graphs!$C$36:$C$37)</f>
        <v>944221</v>
      </c>
      <c r="F19" s="271">
        <f>E19/$E$22</f>
        <v>0.19986966365956046</v>
      </c>
      <c r="G19" s="114">
        <f>C19+E19</f>
        <v>2794221</v>
      </c>
      <c r="H19" s="118">
        <f>G19/$G$22</f>
        <v>0.24759864999235726</v>
      </c>
      <c r="I19" s="106"/>
      <c r="J19" s="106"/>
      <c r="K19" s="106"/>
      <c r="L19" s="283"/>
      <c r="M19" s="106"/>
      <c r="N19" s="106"/>
      <c r="O19" s="106"/>
      <c r="P19" s="106"/>
    </row>
    <row r="20" spans="1:16" ht="13.5" thickBot="1" x14ac:dyDescent="0.25">
      <c r="A20" s="106"/>
      <c r="B20" s="110" t="s">
        <v>92</v>
      </c>
      <c r="C20" s="115">
        <f>Graphs!C9</f>
        <v>3411100</v>
      </c>
      <c r="D20" s="119">
        <f t="shared" si="6"/>
        <v>0.51989757815000537</v>
      </c>
      <c r="E20" s="115">
        <f>Graphs!C38</f>
        <v>2479962.6640516836</v>
      </c>
      <c r="F20" s="272">
        <f>E20/$E$22</f>
        <v>0.52495051852508845</v>
      </c>
      <c r="G20" s="115">
        <f>C20+E20</f>
        <v>5891062.6640516836</v>
      </c>
      <c r="H20" s="119">
        <f>G20/$G$22</f>
        <v>0.52201281238655661</v>
      </c>
      <c r="I20" s="106"/>
      <c r="J20" s="106"/>
      <c r="K20" s="106"/>
      <c r="L20" s="283"/>
      <c r="M20" s="284"/>
      <c r="N20" s="106"/>
      <c r="O20" s="106"/>
      <c r="P20" s="106"/>
    </row>
    <row r="21" spans="1:16" x14ac:dyDescent="0.2">
      <c r="A21" s="106"/>
      <c r="B21" s="106"/>
      <c r="C21" s="106"/>
      <c r="D21" s="106"/>
      <c r="E21" s="106"/>
      <c r="F21" s="106"/>
      <c r="G21" s="106"/>
      <c r="H21" s="106"/>
      <c r="I21" s="106"/>
      <c r="J21" s="106"/>
      <c r="K21" s="106"/>
      <c r="L21" s="106"/>
      <c r="M21" s="284"/>
      <c r="N21" s="106"/>
      <c r="O21" s="106"/>
      <c r="P21" s="106"/>
    </row>
    <row r="22" spans="1:16" ht="13.5" thickBot="1" x14ac:dyDescent="0.25">
      <c r="A22" s="106"/>
      <c r="B22" s="111" t="s">
        <v>54</v>
      </c>
      <c r="C22" s="112">
        <f>SUM(C18:C21)</f>
        <v>6561100</v>
      </c>
      <c r="D22" s="116">
        <f>SUM(D18:D20)</f>
        <v>1</v>
      </c>
      <c r="E22" s="112">
        <f>SUM(E18:E21)</f>
        <v>4724183.6640516836</v>
      </c>
      <c r="F22" s="116">
        <f>SUM(F18:F20)</f>
        <v>1</v>
      </c>
      <c r="G22" s="112">
        <f>SUM(G18:G21)</f>
        <v>11285283.664051684</v>
      </c>
      <c r="H22" s="116">
        <f>SUM(H18:H20)</f>
        <v>1</v>
      </c>
      <c r="I22" s="106"/>
      <c r="J22" s="106"/>
      <c r="K22" s="106"/>
      <c r="L22" s="106"/>
      <c r="M22" s="284"/>
      <c r="N22" s="106"/>
      <c r="O22" s="106"/>
      <c r="P22" s="106"/>
    </row>
    <row r="23" spans="1:16" ht="13.5" thickTop="1" x14ac:dyDescent="0.2">
      <c r="A23" s="106"/>
      <c r="B23" s="106"/>
      <c r="C23" s="106"/>
      <c r="D23" s="106"/>
      <c r="E23" s="106"/>
      <c r="F23" s="106"/>
      <c r="G23" s="106"/>
      <c r="H23" s="106"/>
      <c r="J23" s="106"/>
      <c r="L23" s="235"/>
      <c r="M23" s="284"/>
      <c r="N23" s="106"/>
      <c r="O23" s="106"/>
      <c r="P23" s="106"/>
    </row>
    <row r="24" spans="1:16" x14ac:dyDescent="0.2">
      <c r="A24" s="235"/>
      <c r="B24" s="235"/>
      <c r="C24" s="235"/>
      <c r="D24" s="235"/>
      <c r="E24" s="235"/>
      <c r="F24" s="235"/>
      <c r="G24" s="235"/>
      <c r="H24" s="235"/>
      <c r="I24" s="235"/>
      <c r="J24" s="235"/>
      <c r="K24" s="235"/>
      <c r="L24" s="235"/>
      <c r="M24" s="284"/>
      <c r="N24" s="106"/>
      <c r="O24" s="106"/>
      <c r="P24" s="106"/>
    </row>
    <row r="25" spans="1:16" x14ac:dyDescent="0.2">
      <c r="A25" s="235"/>
      <c r="B25" s="235"/>
      <c r="C25" s="235"/>
      <c r="D25" s="235"/>
      <c r="E25" s="235"/>
      <c r="F25" s="235"/>
      <c r="G25" s="235"/>
      <c r="H25" s="235"/>
      <c r="I25" s="235"/>
      <c r="J25" s="235"/>
      <c r="K25" s="235"/>
      <c r="L25" s="235"/>
      <c r="M25" s="284"/>
      <c r="N25" s="106"/>
      <c r="O25" s="106"/>
      <c r="P25" s="106"/>
    </row>
    <row r="26" spans="1:16" x14ac:dyDescent="0.2">
      <c r="A26" s="106"/>
      <c r="B26" s="106"/>
      <c r="C26" s="106"/>
      <c r="D26" s="106"/>
      <c r="E26" s="106"/>
      <c r="F26" s="106"/>
      <c r="G26" s="106"/>
      <c r="H26" s="106"/>
      <c r="I26" s="106"/>
      <c r="J26" s="106"/>
      <c r="K26" s="106"/>
      <c r="L26" s="106"/>
      <c r="M26" s="106"/>
      <c r="N26" s="106"/>
      <c r="O26" s="106"/>
      <c r="P26" s="106"/>
    </row>
    <row r="27" spans="1:16" ht="13.5" thickBot="1" x14ac:dyDescent="0.25">
      <c r="A27" s="106"/>
      <c r="B27" s="106"/>
      <c r="C27" s="106"/>
      <c r="D27" s="106"/>
      <c r="E27" s="106"/>
      <c r="F27" s="106"/>
      <c r="G27" s="106"/>
      <c r="H27" s="106"/>
      <c r="I27" s="106"/>
      <c r="J27" s="106"/>
      <c r="K27" s="106"/>
      <c r="L27" s="106"/>
      <c r="M27" s="106"/>
    </row>
    <row r="28" spans="1:16" ht="15.75" thickBot="1" x14ac:dyDescent="0.25">
      <c r="A28" s="106"/>
      <c r="B28" s="342" t="s">
        <v>295</v>
      </c>
      <c r="C28" s="343"/>
      <c r="D28" s="343"/>
      <c r="E28" s="343"/>
      <c r="F28" s="343"/>
      <c r="G28" s="343"/>
      <c r="H28" s="344"/>
      <c r="I28" s="317"/>
      <c r="J28" s="106"/>
      <c r="K28" s="106"/>
      <c r="L28" s="106"/>
      <c r="M28" s="106"/>
    </row>
    <row r="29" spans="1:16" ht="15.75" thickBot="1" x14ac:dyDescent="0.25">
      <c r="A29" s="106"/>
      <c r="B29" s="320"/>
      <c r="C29" s="304">
        <v>2016</v>
      </c>
      <c r="D29" s="304" t="s">
        <v>81</v>
      </c>
      <c r="E29" s="303">
        <v>2017</v>
      </c>
      <c r="F29" s="305" t="s">
        <v>81</v>
      </c>
      <c r="G29" s="311" t="s">
        <v>54</v>
      </c>
      <c r="H29" s="321" t="s">
        <v>81</v>
      </c>
      <c r="I29" s="318"/>
      <c r="J29" s="106"/>
      <c r="K29" s="106"/>
      <c r="L29" s="106"/>
      <c r="M29" s="106"/>
    </row>
    <row r="30" spans="1:16" ht="15.75" thickBot="1" x14ac:dyDescent="0.25">
      <c r="A30" s="106"/>
      <c r="B30" s="310" t="s">
        <v>296</v>
      </c>
      <c r="C30" s="307" t="s">
        <v>297</v>
      </c>
      <c r="D30" s="308">
        <v>0.2</v>
      </c>
      <c r="E30" s="307" t="s">
        <v>297</v>
      </c>
      <c r="F30" s="308">
        <v>0.28000000000000003</v>
      </c>
      <c r="G30" s="309" t="s">
        <v>298</v>
      </c>
      <c r="H30" s="322">
        <v>0.23</v>
      </c>
      <c r="I30" s="319"/>
      <c r="J30" s="106"/>
      <c r="K30" s="106"/>
      <c r="L30" s="106"/>
      <c r="M30" s="106"/>
    </row>
    <row r="31" spans="1:16" ht="15.75" thickBot="1" x14ac:dyDescent="0.25">
      <c r="A31" s="106"/>
      <c r="B31" s="306" t="s">
        <v>299</v>
      </c>
      <c r="C31" s="324" t="s">
        <v>300</v>
      </c>
      <c r="D31" s="325">
        <v>0.28000000000000003</v>
      </c>
      <c r="E31" s="324">
        <v>944.221</v>
      </c>
      <c r="F31" s="325">
        <v>0.2</v>
      </c>
      <c r="G31" s="326" t="s">
        <v>301</v>
      </c>
      <c r="H31" s="322">
        <v>0.25</v>
      </c>
      <c r="I31" s="319"/>
      <c r="J31" s="106"/>
      <c r="K31" s="106"/>
      <c r="L31" s="106"/>
      <c r="M31" s="106"/>
    </row>
    <row r="32" spans="1:16" ht="15.75" thickBot="1" x14ac:dyDescent="0.25">
      <c r="A32" s="106"/>
      <c r="B32" s="310" t="s">
        <v>302</v>
      </c>
      <c r="C32" s="307" t="s">
        <v>303</v>
      </c>
      <c r="D32" s="308">
        <v>0.52</v>
      </c>
      <c r="E32" s="307" t="s">
        <v>304</v>
      </c>
      <c r="F32" s="308">
        <v>0.52</v>
      </c>
      <c r="G32" s="309" t="s">
        <v>305</v>
      </c>
      <c r="H32" s="322">
        <v>0.52</v>
      </c>
      <c r="I32" s="319"/>
      <c r="J32" s="106"/>
      <c r="K32" s="106"/>
      <c r="L32" s="106"/>
      <c r="M32" s="106"/>
    </row>
    <row r="33" spans="1:13" ht="15" x14ac:dyDescent="0.2">
      <c r="A33" s="106"/>
      <c r="B33" s="323"/>
      <c r="C33" s="312"/>
      <c r="D33" s="313"/>
      <c r="E33" s="312"/>
      <c r="F33" s="313"/>
      <c r="G33" s="314"/>
      <c r="H33" s="315"/>
      <c r="I33" s="316"/>
      <c r="J33" s="106"/>
      <c r="K33" s="106"/>
      <c r="L33" s="106"/>
      <c r="M33" s="106"/>
    </row>
    <row r="34" spans="1:13" ht="15.75" thickBot="1" x14ac:dyDescent="0.25">
      <c r="A34" s="106"/>
      <c r="B34" s="327" t="s">
        <v>54</v>
      </c>
      <c r="C34" s="328" t="s">
        <v>306</v>
      </c>
      <c r="D34" s="329">
        <v>1</v>
      </c>
      <c r="E34" s="328" t="s">
        <v>307</v>
      </c>
      <c r="F34" s="330">
        <v>1</v>
      </c>
      <c r="G34" s="331" t="s">
        <v>308</v>
      </c>
      <c r="H34" s="332">
        <v>1</v>
      </c>
      <c r="I34" s="316">
        <v>1</v>
      </c>
      <c r="J34" s="106"/>
      <c r="K34" s="106"/>
      <c r="L34" s="106"/>
      <c r="M34" s="106"/>
    </row>
    <row r="35" spans="1:13" ht="13.5" thickTop="1" x14ac:dyDescent="0.2">
      <c r="A35" s="106"/>
      <c r="B35" s="106"/>
      <c r="C35" s="106"/>
      <c r="D35" s="106"/>
      <c r="E35" s="106"/>
      <c r="F35" s="106"/>
      <c r="G35" s="106"/>
      <c r="H35" s="106"/>
      <c r="I35" s="106"/>
      <c r="J35" s="106"/>
      <c r="K35" s="106"/>
      <c r="L35" s="106"/>
      <c r="M35" s="106"/>
    </row>
    <row r="36" spans="1:13" x14ac:dyDescent="0.2">
      <c r="A36" s="106"/>
      <c r="B36" s="106"/>
      <c r="C36" s="106"/>
      <c r="D36" s="106"/>
      <c r="E36" s="106"/>
      <c r="F36" s="106"/>
      <c r="G36" s="106"/>
      <c r="H36" s="106"/>
      <c r="I36" s="106"/>
      <c r="J36" s="106"/>
      <c r="K36" s="106"/>
      <c r="L36" s="106"/>
      <c r="M36" s="106"/>
    </row>
    <row r="37" spans="1:13" x14ac:dyDescent="0.2">
      <c r="A37" s="106"/>
      <c r="B37" s="106"/>
      <c r="C37" s="106"/>
      <c r="D37" s="106"/>
      <c r="E37" s="106"/>
      <c r="F37" s="106"/>
      <c r="G37" s="106"/>
      <c r="H37" s="106"/>
      <c r="I37" s="106"/>
      <c r="J37" s="106"/>
      <c r="K37" s="106"/>
      <c r="L37" s="106"/>
      <c r="M37" s="106"/>
    </row>
    <row r="38" spans="1:13" x14ac:dyDescent="0.2">
      <c r="A38" s="106"/>
      <c r="B38" s="106"/>
      <c r="C38" s="106"/>
      <c r="D38" s="106"/>
      <c r="E38" s="106"/>
      <c r="F38" s="106"/>
      <c r="G38" s="106"/>
      <c r="H38" s="106"/>
      <c r="I38" s="106"/>
      <c r="J38" s="106"/>
      <c r="K38" s="106"/>
      <c r="L38" s="106"/>
      <c r="M38" s="106"/>
    </row>
    <row r="39" spans="1:13" x14ac:dyDescent="0.2">
      <c r="A39" s="106"/>
      <c r="B39" s="106"/>
      <c r="C39" s="106"/>
      <c r="D39" s="106"/>
      <c r="E39" s="106"/>
      <c r="F39" s="106"/>
      <c r="G39" s="106"/>
      <c r="H39" s="106"/>
      <c r="I39" s="106"/>
      <c r="J39" s="106"/>
      <c r="K39" s="106"/>
      <c r="L39" s="106"/>
      <c r="M39" s="106"/>
    </row>
    <row r="40" spans="1:13" x14ac:dyDescent="0.2">
      <c r="A40" s="106"/>
      <c r="B40" s="106"/>
      <c r="C40" s="106"/>
      <c r="D40" s="106"/>
      <c r="E40" s="106"/>
      <c r="F40" s="106"/>
      <c r="G40" s="106"/>
      <c r="H40" s="106"/>
      <c r="I40" s="106"/>
      <c r="J40" s="106"/>
      <c r="K40" s="106"/>
      <c r="L40" s="106"/>
      <c r="M40" s="106"/>
    </row>
    <row r="41" spans="1:13" x14ac:dyDescent="0.2">
      <c r="A41" s="106"/>
      <c r="B41" s="106"/>
      <c r="C41" s="106"/>
      <c r="D41" s="106"/>
      <c r="E41" s="106"/>
      <c r="F41" s="106"/>
      <c r="G41" s="106"/>
      <c r="H41" s="106"/>
      <c r="I41" s="106"/>
      <c r="J41" s="106"/>
      <c r="K41" s="106"/>
      <c r="L41" s="106"/>
      <c r="M41" s="106"/>
    </row>
    <row r="42" spans="1:13" x14ac:dyDescent="0.2">
      <c r="A42" s="106"/>
      <c r="B42" s="106"/>
      <c r="C42" s="106"/>
      <c r="D42" s="106"/>
      <c r="E42" s="106"/>
      <c r="F42" s="106"/>
      <c r="G42" s="106"/>
      <c r="H42" s="106"/>
      <c r="I42" s="106"/>
      <c r="J42" s="106"/>
      <c r="K42" s="106"/>
      <c r="L42" s="106"/>
      <c r="M42" s="106"/>
    </row>
    <row r="43" spans="1:13" x14ac:dyDescent="0.2">
      <c r="A43" s="106"/>
      <c r="B43" s="106"/>
      <c r="C43" s="106"/>
      <c r="D43" s="106"/>
      <c r="E43" s="106"/>
      <c r="F43" s="106"/>
      <c r="G43" s="106"/>
      <c r="H43" s="106"/>
      <c r="I43" s="106"/>
      <c r="J43" s="106"/>
      <c r="K43" s="106"/>
      <c r="L43" s="106"/>
      <c r="M43" s="106"/>
    </row>
    <row r="44" spans="1:13" x14ac:dyDescent="0.2">
      <c r="A44" s="106"/>
      <c r="B44" s="106"/>
      <c r="C44" s="106"/>
      <c r="D44" s="106"/>
      <c r="E44" s="106"/>
      <c r="F44" s="106"/>
      <c r="G44" s="106"/>
      <c r="H44" s="106"/>
      <c r="I44" s="106"/>
      <c r="J44" s="106"/>
      <c r="K44" s="106"/>
      <c r="L44" s="106"/>
      <c r="M44" s="106"/>
    </row>
    <row r="45" spans="1:13" x14ac:dyDescent="0.2">
      <c r="A45" s="106"/>
      <c r="B45" s="106"/>
      <c r="C45" s="106"/>
      <c r="D45" s="106"/>
      <c r="E45" s="106"/>
      <c r="F45" s="106"/>
      <c r="G45" s="106"/>
      <c r="H45" s="106"/>
      <c r="I45" s="106"/>
      <c r="J45" s="106"/>
      <c r="K45" s="106"/>
      <c r="L45" s="106"/>
      <c r="M45" s="106"/>
    </row>
    <row r="46" spans="1:13" x14ac:dyDescent="0.2">
      <c r="A46" s="106"/>
      <c r="B46" s="106"/>
      <c r="C46" s="106"/>
      <c r="D46" s="106"/>
      <c r="E46" s="106"/>
      <c r="F46" s="106"/>
      <c r="G46" s="106"/>
      <c r="H46" s="106"/>
      <c r="I46" s="106"/>
      <c r="J46" s="106"/>
      <c r="K46" s="106"/>
      <c r="L46" s="106"/>
      <c r="M46" s="106"/>
    </row>
    <row r="47" spans="1:13" x14ac:dyDescent="0.2">
      <c r="A47" s="106"/>
      <c r="B47" s="106"/>
      <c r="C47" s="106"/>
      <c r="D47" s="106"/>
      <c r="E47" s="106"/>
      <c r="F47" s="106"/>
      <c r="G47" s="106"/>
      <c r="H47" s="106"/>
      <c r="I47" s="106"/>
      <c r="J47" s="106"/>
      <c r="K47" s="106"/>
      <c r="L47" s="106"/>
      <c r="M47" s="106"/>
    </row>
  </sheetData>
  <mergeCells count="8">
    <mergeCell ref="L4:L5"/>
    <mergeCell ref="B4:B5"/>
    <mergeCell ref="H4:H5"/>
    <mergeCell ref="B28:H28"/>
    <mergeCell ref="B16:H16"/>
    <mergeCell ref="F4:F5"/>
    <mergeCell ref="C4:E4"/>
    <mergeCell ref="I4:K4"/>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0"/>
  <sheetViews>
    <sheetView view="pageBreakPreview" zoomScale="75" zoomScaleNormal="60" workbookViewId="0">
      <selection activeCell="B1" sqref="B1:F1"/>
    </sheetView>
  </sheetViews>
  <sheetFormatPr defaultColWidth="9.140625" defaultRowHeight="12.75" x14ac:dyDescent="0.2"/>
  <cols>
    <col min="1" max="1" width="3.28515625" customWidth="1"/>
    <col min="2" max="2" width="12.7109375" customWidth="1"/>
    <col min="3" max="3" width="84.140625" bestFit="1" customWidth="1"/>
    <col min="4" max="4" width="14" customWidth="1"/>
    <col min="5" max="5" width="40" customWidth="1"/>
    <col min="6" max="6" width="2.42578125" customWidth="1"/>
    <col min="9" max="9" width="9.85546875" bestFit="1" customWidth="1"/>
  </cols>
  <sheetData>
    <row r="1" spans="2:11" ht="18" x14ac:dyDescent="0.25">
      <c r="B1" s="351"/>
      <c r="C1" s="352"/>
      <c r="D1" s="352"/>
      <c r="E1" s="352"/>
      <c r="F1" s="352"/>
    </row>
    <row r="2" spans="2:11" ht="20.25" x14ac:dyDescent="0.3">
      <c r="B2" s="353" t="s">
        <v>51</v>
      </c>
      <c r="C2" s="353"/>
      <c r="D2" s="353"/>
      <c r="E2" s="353"/>
    </row>
    <row r="3" spans="2:11" ht="20.25" x14ac:dyDescent="0.3">
      <c r="B3" s="353" t="s">
        <v>96</v>
      </c>
      <c r="C3" s="353"/>
      <c r="D3" s="353"/>
      <c r="E3" s="353"/>
    </row>
    <row r="8" spans="2:11" s="8" customFormat="1" ht="31.5" x14ac:dyDescent="0.2">
      <c r="B8" s="4" t="s">
        <v>52</v>
      </c>
      <c r="C8" s="5" t="s">
        <v>0</v>
      </c>
      <c r="D8" s="6" t="s">
        <v>53</v>
      </c>
      <c r="E8" s="5" t="s">
        <v>97</v>
      </c>
      <c r="F8" s="7"/>
    </row>
    <row r="9" spans="2:11" s="50" customFormat="1" ht="24.95" customHeight="1" x14ac:dyDescent="0.2">
      <c r="B9" s="121">
        <v>1100</v>
      </c>
      <c r="C9" s="44" t="s">
        <v>95</v>
      </c>
      <c r="D9" s="40">
        <f>36*3</f>
        <v>108</v>
      </c>
      <c r="E9" s="45">
        <f>ROUNDUP((272900+242200+204500+173900)+(272900+242200+204500+173900)*1.02, -4)</f>
        <v>1810000</v>
      </c>
      <c r="F9" s="49"/>
      <c r="G9" s="49"/>
      <c r="H9" s="49"/>
      <c r="I9" s="49"/>
      <c r="J9" s="49"/>
      <c r="K9" s="49"/>
    </row>
    <row r="10" spans="2:11" s="50" customFormat="1" ht="24.95" customHeight="1" x14ac:dyDescent="0.2">
      <c r="B10" s="121">
        <v>1112</v>
      </c>
      <c r="C10" s="41" t="s">
        <v>94</v>
      </c>
      <c r="D10" s="46"/>
      <c r="E10" s="47">
        <f>50000*2</f>
        <v>100000</v>
      </c>
      <c r="F10" s="49"/>
      <c r="G10" s="49"/>
      <c r="H10" s="49"/>
      <c r="I10" s="49"/>
      <c r="J10" s="49"/>
      <c r="K10" s="49"/>
    </row>
    <row r="11" spans="2:11" s="50" customFormat="1" ht="24.95" customHeight="1" x14ac:dyDescent="0.2">
      <c r="B11" s="121">
        <v>1301</v>
      </c>
      <c r="C11" s="48" t="s">
        <v>69</v>
      </c>
      <c r="D11" s="46"/>
      <c r="E11" s="47">
        <f>100000*2</f>
        <v>200000</v>
      </c>
      <c r="F11" s="49"/>
      <c r="G11" s="49"/>
      <c r="H11" s="49"/>
      <c r="I11" s="49"/>
      <c r="J11" s="49"/>
      <c r="K11" s="49"/>
    </row>
    <row r="12" spans="2:11" s="50" customFormat="1" ht="24.95" customHeight="1" x14ac:dyDescent="0.2">
      <c r="B12" s="121">
        <v>1601</v>
      </c>
      <c r="C12" s="41" t="s">
        <v>93</v>
      </c>
      <c r="D12" s="46"/>
      <c r="E12" s="47">
        <f>60000*2</f>
        <v>120000</v>
      </c>
      <c r="F12" s="49"/>
      <c r="G12" s="49"/>
      <c r="H12" s="49"/>
      <c r="I12" s="49"/>
      <c r="J12" s="49"/>
      <c r="K12" s="49"/>
    </row>
    <row r="13" spans="2:11" s="50" customFormat="1" ht="24.95" customHeight="1" x14ac:dyDescent="0.2">
      <c r="B13" s="121">
        <v>3201</v>
      </c>
      <c r="C13" s="41" t="s">
        <v>70</v>
      </c>
      <c r="D13" s="41"/>
      <c r="E13" s="47">
        <f>2600000-SUM(E9:E12)</f>
        <v>370000</v>
      </c>
      <c r="F13" s="49"/>
      <c r="G13" s="49"/>
      <c r="H13" s="49"/>
      <c r="I13" s="236"/>
      <c r="J13" s="49"/>
      <c r="K13" s="49"/>
    </row>
    <row r="14" spans="2:11" s="50" customFormat="1" ht="24.95" customHeight="1" x14ac:dyDescent="0.2">
      <c r="B14" s="43"/>
      <c r="C14" s="41"/>
      <c r="D14" s="42"/>
      <c r="E14" s="45"/>
      <c r="F14" s="49"/>
      <c r="G14" s="49"/>
      <c r="H14" s="49"/>
      <c r="I14" s="49"/>
      <c r="J14" s="49"/>
      <c r="K14" s="49"/>
    </row>
    <row r="15" spans="2:11" ht="15.75" x14ac:dyDescent="0.25">
      <c r="B15" s="9"/>
      <c r="C15" s="14"/>
      <c r="D15" s="10"/>
      <c r="E15" s="15"/>
      <c r="F15" s="12"/>
      <c r="G15" s="12"/>
      <c r="H15" s="12"/>
      <c r="I15" s="12"/>
      <c r="J15" s="12"/>
      <c r="K15" s="12"/>
    </row>
    <row r="16" spans="2:11" ht="28.5" customHeight="1" x14ac:dyDescent="0.3">
      <c r="B16" s="9"/>
      <c r="C16" s="16" t="s">
        <v>54</v>
      </c>
      <c r="D16" s="17"/>
      <c r="E16" s="18">
        <f>SUM(E9:E14)</f>
        <v>2600000</v>
      </c>
      <c r="F16" s="12"/>
      <c r="G16" s="12"/>
      <c r="H16" s="12"/>
      <c r="I16" s="12"/>
      <c r="J16" s="12"/>
      <c r="K16" s="12"/>
    </row>
    <row r="17" spans="2:6" ht="20.25" x14ac:dyDescent="0.3">
      <c r="B17" s="19"/>
      <c r="C17" s="13"/>
      <c r="D17" s="20"/>
      <c r="E17" s="13"/>
      <c r="F17" s="11"/>
    </row>
    <row r="20" spans="2:6" x14ac:dyDescent="0.2">
      <c r="E20" s="51"/>
    </row>
  </sheetData>
  <mergeCells count="3">
    <mergeCell ref="B1:F1"/>
    <mergeCell ref="B2:E2"/>
    <mergeCell ref="B3:E3"/>
  </mergeCells>
  <pageMargins left="1.3385826771653544" right="0.74803149606299213" top="0.98425196850393704" bottom="0.98425196850393704" header="0.51181102362204722" footer="0.51181102362204722"/>
  <pageSetup paperSize="9" scale="79"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workbookViewId="0">
      <selection activeCell="A2" sqref="A2:J57"/>
    </sheetView>
  </sheetViews>
  <sheetFormatPr defaultColWidth="9.140625" defaultRowHeight="12.75" x14ac:dyDescent="0.2"/>
  <cols>
    <col min="1" max="1" width="6.42578125" customWidth="1"/>
    <col min="2" max="2" width="44.140625" bestFit="1" customWidth="1"/>
    <col min="3" max="3" width="11.28515625" customWidth="1"/>
    <col min="4" max="9" width="11.5703125" customWidth="1"/>
    <col min="10" max="10" width="12.28515625" customWidth="1"/>
    <col min="11" max="11" width="11.5703125" customWidth="1"/>
  </cols>
  <sheetData>
    <row r="1" spans="1:11" ht="12" customHeight="1" thickBot="1" x14ac:dyDescent="0.35">
      <c r="C1" s="1"/>
      <c r="J1" s="3"/>
    </row>
    <row r="2" spans="1:11" ht="24" customHeight="1" thickBot="1" x14ac:dyDescent="0.35">
      <c r="A2" s="360" t="s">
        <v>288</v>
      </c>
      <c r="B2" s="361"/>
      <c r="C2" s="361"/>
      <c r="D2" s="361"/>
      <c r="E2" s="361"/>
      <c r="F2" s="361"/>
      <c r="G2" s="361"/>
      <c r="H2" s="361"/>
      <c r="I2" s="361"/>
      <c r="J2" s="362"/>
    </row>
    <row r="3" spans="1:11" x14ac:dyDescent="0.2">
      <c r="A3" s="363" t="s">
        <v>52</v>
      </c>
      <c r="B3" s="366" t="s">
        <v>0</v>
      </c>
      <c r="C3" s="131" t="s">
        <v>4</v>
      </c>
      <c r="D3" s="68">
        <v>2016</v>
      </c>
      <c r="E3" s="354" t="s">
        <v>103</v>
      </c>
      <c r="F3" s="357" t="s">
        <v>104</v>
      </c>
      <c r="G3" s="74">
        <v>2017</v>
      </c>
      <c r="H3" s="354" t="s">
        <v>105</v>
      </c>
      <c r="I3" s="354" t="s">
        <v>106</v>
      </c>
      <c r="J3" s="129" t="s">
        <v>4</v>
      </c>
    </row>
    <row r="4" spans="1:11" x14ac:dyDescent="0.2">
      <c r="A4" s="364"/>
      <c r="B4" s="367"/>
      <c r="C4" s="132" t="s">
        <v>102</v>
      </c>
      <c r="D4" s="69" t="s">
        <v>1</v>
      </c>
      <c r="E4" s="355"/>
      <c r="F4" s="358"/>
      <c r="G4" s="75" t="s">
        <v>1</v>
      </c>
      <c r="H4" s="355"/>
      <c r="I4" s="355"/>
      <c r="J4" s="130" t="s">
        <v>102</v>
      </c>
    </row>
    <row r="5" spans="1:11" ht="13.5" thickBot="1" x14ac:dyDescent="0.25">
      <c r="A5" s="365"/>
      <c r="B5" s="368"/>
      <c r="C5" s="133" t="s">
        <v>50</v>
      </c>
      <c r="D5" s="70" t="s">
        <v>2</v>
      </c>
      <c r="E5" s="356"/>
      <c r="F5" s="359"/>
      <c r="G5" s="76" t="s">
        <v>2</v>
      </c>
      <c r="H5" s="356"/>
      <c r="I5" s="356"/>
      <c r="J5" s="71" t="s">
        <v>50</v>
      </c>
    </row>
    <row r="6" spans="1:11" ht="20.100000000000001" customHeight="1" x14ac:dyDescent="0.2">
      <c r="A6" s="52">
        <v>1100</v>
      </c>
      <c r="B6" s="53" t="s">
        <v>5</v>
      </c>
      <c r="C6" s="63">
        <v>1164000</v>
      </c>
      <c r="D6" s="125">
        <f>+F6+E6</f>
        <v>728900</v>
      </c>
      <c r="E6" s="230">
        <f>'Annex 6 2016 RB XB'!E7</f>
        <v>0</v>
      </c>
      <c r="F6" s="230">
        <f>'Annex 6 2016 RB XB'!D7</f>
        <v>728900</v>
      </c>
      <c r="G6" s="231">
        <f>+H6+I6</f>
        <v>770900</v>
      </c>
      <c r="H6" s="64">
        <f>'Annex 7 2017 RB XB'!E7</f>
        <v>0</v>
      </c>
      <c r="I6" s="64">
        <f>'Annex 7 2017 RB XB'!D7</f>
        <v>770900</v>
      </c>
      <c r="J6" s="233">
        <f>+G6+D6</f>
        <v>1499800</v>
      </c>
    </row>
    <row r="7" spans="1:11" ht="20.100000000000001" customHeight="1" x14ac:dyDescent="0.2">
      <c r="A7" s="54">
        <v>1102</v>
      </c>
      <c r="B7" s="55" t="s">
        <v>71</v>
      </c>
      <c r="C7" s="65">
        <v>100000</v>
      </c>
      <c r="D7" s="126">
        <f>+E7+F7</f>
        <v>52000</v>
      </c>
      <c r="E7" s="228">
        <f>'Annex 6 2016 RB XB'!E8</f>
        <v>0</v>
      </c>
      <c r="F7" s="228">
        <f>'Annex 6 2016 RB XB'!D8</f>
        <v>52000</v>
      </c>
      <c r="G7" s="232">
        <f>+H7+I7</f>
        <v>0</v>
      </c>
      <c r="H7" s="228">
        <f>'Annex 7 2017 RB XB'!E8</f>
        <v>0</v>
      </c>
      <c r="I7" s="228">
        <f>'Annex 7 2017 RB XB'!D8</f>
        <v>0</v>
      </c>
      <c r="J7" s="234">
        <f>+D7+I7</f>
        <v>52000</v>
      </c>
    </row>
    <row r="8" spans="1:11" ht="20.100000000000001" customHeight="1" x14ac:dyDescent="0.2">
      <c r="A8" s="54">
        <v>1112</v>
      </c>
      <c r="B8" s="55" t="s">
        <v>6</v>
      </c>
      <c r="C8" s="65">
        <v>300000</v>
      </c>
      <c r="D8" s="126">
        <f t="shared" ref="D8:D56" si="0">+E8+F8</f>
        <v>40000</v>
      </c>
      <c r="E8" s="228">
        <f>'Annex 6 2016 RB XB'!E9</f>
        <v>0</v>
      </c>
      <c r="F8" s="228">
        <f>'Annex 6 2016 RB XB'!D9</f>
        <v>40000</v>
      </c>
      <c r="G8" s="232">
        <f t="shared" ref="G8:G56" si="1">+H8+I8</f>
        <v>40000</v>
      </c>
      <c r="H8" s="228">
        <f>'Annex 7 2017 RB XB'!E9</f>
        <v>0</v>
      </c>
      <c r="I8" s="228">
        <f>'Annex 7 2017 RB XB'!D9</f>
        <v>40000</v>
      </c>
      <c r="J8" s="234">
        <f>+D8+G8</f>
        <v>80000</v>
      </c>
    </row>
    <row r="9" spans="1:11" ht="20.100000000000001" customHeight="1" x14ac:dyDescent="0.2">
      <c r="A9" s="54">
        <v>1113</v>
      </c>
      <c r="B9" s="55" t="s">
        <v>17</v>
      </c>
      <c r="C9" s="65">
        <v>120000</v>
      </c>
      <c r="D9" s="126">
        <f t="shared" si="0"/>
        <v>0</v>
      </c>
      <c r="E9" s="228">
        <f>'Annex 6 2016 RB XB'!E10</f>
        <v>0</v>
      </c>
      <c r="F9" s="228">
        <f>'Annex 6 2016 RB XB'!D10</f>
        <v>0</v>
      </c>
      <c r="G9" s="232">
        <f t="shared" si="1"/>
        <v>0</v>
      </c>
      <c r="H9" s="228">
        <f>'Annex 7 2017 RB XB'!E10</f>
        <v>0</v>
      </c>
      <c r="I9" s="228">
        <f>'Annex 7 2017 RB XB'!D10</f>
        <v>0</v>
      </c>
      <c r="J9" s="234">
        <f t="shared" ref="J9:J56" si="2">+D9+G9</f>
        <v>0</v>
      </c>
    </row>
    <row r="10" spans="1:11" s="28" customFormat="1" ht="20.100000000000001" customHeight="1" x14ac:dyDescent="0.2">
      <c r="A10" s="54">
        <v>1115</v>
      </c>
      <c r="B10" s="55" t="s">
        <v>37</v>
      </c>
      <c r="C10" s="65">
        <v>200000</v>
      </c>
      <c r="D10" s="126">
        <f t="shared" si="0"/>
        <v>0</v>
      </c>
      <c r="E10" s="228">
        <f>'Annex 6 2016 RB XB'!E11</f>
        <v>0</v>
      </c>
      <c r="F10" s="228">
        <f>'Annex 6 2016 RB XB'!D11</f>
        <v>0</v>
      </c>
      <c r="G10" s="232">
        <f t="shared" si="1"/>
        <v>0</v>
      </c>
      <c r="H10" s="228">
        <f>'Annex 7 2017 RB XB'!E11</f>
        <v>0</v>
      </c>
      <c r="I10" s="228">
        <f>'Annex 7 2017 RB XB'!D11</f>
        <v>0</v>
      </c>
      <c r="J10" s="234">
        <f t="shared" si="2"/>
        <v>0</v>
      </c>
      <c r="K10" s="72"/>
    </row>
    <row r="11" spans="1:11" s="28" customFormat="1" ht="20.100000000000001" customHeight="1" x14ac:dyDescent="0.2">
      <c r="A11" s="54">
        <v>1116</v>
      </c>
      <c r="B11" s="55" t="s">
        <v>38</v>
      </c>
      <c r="C11" s="65">
        <v>200000</v>
      </c>
      <c r="D11" s="126">
        <f t="shared" si="0"/>
        <v>0</v>
      </c>
      <c r="E11" s="228">
        <f>'Annex 6 2016 RB XB'!E12</f>
        <v>0</v>
      </c>
      <c r="F11" s="228">
        <f>'Annex 6 2016 RB XB'!D12</f>
        <v>0</v>
      </c>
      <c r="G11" s="232">
        <f t="shared" si="1"/>
        <v>0</v>
      </c>
      <c r="H11" s="228">
        <f>'Annex 7 2017 RB XB'!E12</f>
        <v>0</v>
      </c>
      <c r="I11" s="228">
        <f>'Annex 7 2017 RB XB'!D12</f>
        <v>0</v>
      </c>
      <c r="J11" s="234">
        <f t="shared" si="2"/>
        <v>0</v>
      </c>
      <c r="K11" s="72"/>
    </row>
    <row r="12" spans="1:11" s="28" customFormat="1" ht="20.100000000000001" customHeight="1" x14ac:dyDescent="0.2">
      <c r="A12" s="54">
        <v>1117</v>
      </c>
      <c r="B12" s="55" t="s">
        <v>68</v>
      </c>
      <c r="C12" s="65">
        <v>48000</v>
      </c>
      <c r="D12" s="126">
        <f t="shared" si="0"/>
        <v>15000</v>
      </c>
      <c r="E12" s="228">
        <f>'Annex 6 2016 RB XB'!E13</f>
        <v>15000</v>
      </c>
      <c r="F12" s="228">
        <f>'Annex 6 2016 RB XB'!D13</f>
        <v>0</v>
      </c>
      <c r="G12" s="232">
        <f t="shared" si="1"/>
        <v>15000</v>
      </c>
      <c r="H12" s="228">
        <f>'Annex 7 2017 RB XB'!E13</f>
        <v>15000</v>
      </c>
      <c r="I12" s="228">
        <f>'Annex 7 2017 RB XB'!D13</f>
        <v>0</v>
      </c>
      <c r="J12" s="234">
        <f t="shared" si="2"/>
        <v>30000</v>
      </c>
      <c r="K12" s="72"/>
    </row>
    <row r="13" spans="1:11" ht="20.100000000000001" customHeight="1" x14ac:dyDescent="0.2">
      <c r="A13" s="54">
        <v>1300</v>
      </c>
      <c r="B13" s="55" t="s">
        <v>39</v>
      </c>
      <c r="C13" s="65">
        <v>80000</v>
      </c>
      <c r="D13" s="126">
        <f t="shared" si="0"/>
        <v>114100</v>
      </c>
      <c r="E13" s="228">
        <f>'Annex 6 2016 RB XB'!E14</f>
        <v>0</v>
      </c>
      <c r="F13" s="228">
        <f>'Annex 6 2016 RB XB'!D14</f>
        <v>114100</v>
      </c>
      <c r="G13" s="232">
        <f t="shared" si="1"/>
        <v>114100</v>
      </c>
      <c r="H13" s="228">
        <f>'Annex 7 2017 RB XB'!E14</f>
        <v>0</v>
      </c>
      <c r="I13" s="228">
        <f>'Annex 7 2017 RB XB'!D14</f>
        <v>114100</v>
      </c>
      <c r="J13" s="234">
        <f t="shared" si="2"/>
        <v>228200</v>
      </c>
      <c r="K13" s="2"/>
    </row>
    <row r="14" spans="1:11" ht="22.5" customHeight="1" x14ac:dyDescent="0.2">
      <c r="A14" s="54">
        <v>1301</v>
      </c>
      <c r="B14" s="55" t="s">
        <v>7</v>
      </c>
      <c r="C14" s="65">
        <v>1050913</v>
      </c>
      <c r="D14" s="126">
        <f>+E14+F14</f>
        <v>950000</v>
      </c>
      <c r="E14" s="228">
        <f>'Annex 6 2016 RB XB'!E15</f>
        <v>850000</v>
      </c>
      <c r="F14" s="228">
        <f>'Annex 6 2016 RB XB'!D15</f>
        <v>100000</v>
      </c>
      <c r="G14" s="232">
        <f t="shared" si="1"/>
        <v>1100000</v>
      </c>
      <c r="H14" s="228">
        <f>'Annex 7 2017 RB XB'!E15</f>
        <v>1000000</v>
      </c>
      <c r="I14" s="228">
        <f>'Annex 7 2017 RB XB'!D15</f>
        <v>100000</v>
      </c>
      <c r="J14" s="234">
        <f t="shared" si="2"/>
        <v>2050000</v>
      </c>
      <c r="K14" s="2"/>
    </row>
    <row r="15" spans="1:11" ht="20.100000000000001" customHeight="1" x14ac:dyDescent="0.2">
      <c r="A15" s="54">
        <v>1306</v>
      </c>
      <c r="B15" s="55" t="s">
        <v>32</v>
      </c>
      <c r="C15" s="65">
        <v>20000</v>
      </c>
      <c r="D15" s="126">
        <f t="shared" si="0"/>
        <v>10000</v>
      </c>
      <c r="E15" s="228">
        <f>'Annex 6 2016 RB XB'!E16</f>
        <v>10000</v>
      </c>
      <c r="F15" s="228">
        <f>'Annex 6 2016 RB XB'!D16</f>
        <v>0</v>
      </c>
      <c r="G15" s="232">
        <f t="shared" si="1"/>
        <v>10000</v>
      </c>
      <c r="H15" s="228">
        <f>'Annex 7 2017 RB XB'!E16</f>
        <v>10000</v>
      </c>
      <c r="I15" s="228">
        <f>'Annex 7 2017 RB XB'!D16</f>
        <v>0</v>
      </c>
      <c r="J15" s="234">
        <f t="shared" si="2"/>
        <v>20000</v>
      </c>
      <c r="K15" s="2"/>
    </row>
    <row r="16" spans="1:11" ht="20.100000000000001" customHeight="1" x14ac:dyDescent="0.2">
      <c r="A16" s="54">
        <v>1307</v>
      </c>
      <c r="B16" s="55" t="s">
        <v>12</v>
      </c>
      <c r="C16" s="65">
        <v>10000</v>
      </c>
      <c r="D16" s="126">
        <f t="shared" si="0"/>
        <v>0</v>
      </c>
      <c r="E16" s="228">
        <f>'Annex 6 2016 RB XB'!E17</f>
        <v>0</v>
      </c>
      <c r="F16" s="228">
        <f>'Annex 6 2016 RB XB'!D17</f>
        <v>0</v>
      </c>
      <c r="G16" s="232">
        <f t="shared" si="1"/>
        <v>0</v>
      </c>
      <c r="H16" s="228">
        <f>'Annex 7 2017 RB XB'!E17</f>
        <v>0</v>
      </c>
      <c r="I16" s="228">
        <f>'Annex 7 2017 RB XB'!D17</f>
        <v>0</v>
      </c>
      <c r="J16" s="234">
        <f t="shared" si="2"/>
        <v>0</v>
      </c>
      <c r="K16" s="2"/>
    </row>
    <row r="17" spans="1:11" ht="20.100000000000001" customHeight="1" x14ac:dyDescent="0.2">
      <c r="A17" s="54">
        <v>1308</v>
      </c>
      <c r="B17" s="55" t="s">
        <v>13</v>
      </c>
      <c r="C17" s="65">
        <v>16000</v>
      </c>
      <c r="D17" s="126">
        <f t="shared" si="0"/>
        <v>10000</v>
      </c>
      <c r="E17" s="228">
        <f>'Annex 6 2016 RB XB'!E18</f>
        <v>0</v>
      </c>
      <c r="F17" s="228">
        <f>'Annex 6 2016 RB XB'!D18</f>
        <v>10000</v>
      </c>
      <c r="G17" s="232">
        <f t="shared" si="1"/>
        <v>20000</v>
      </c>
      <c r="H17" s="228">
        <f>'Annex 7 2017 RB XB'!E18</f>
        <v>0</v>
      </c>
      <c r="I17" s="228">
        <f>'Annex 7 2017 RB XB'!D18</f>
        <v>20000</v>
      </c>
      <c r="J17" s="234">
        <f t="shared" si="2"/>
        <v>30000</v>
      </c>
      <c r="K17" s="2"/>
    </row>
    <row r="18" spans="1:11" ht="20.100000000000001" customHeight="1" x14ac:dyDescent="0.2">
      <c r="A18" s="54">
        <v>1360</v>
      </c>
      <c r="B18" s="55" t="s">
        <v>40</v>
      </c>
      <c r="C18" s="65">
        <v>0</v>
      </c>
      <c r="D18" s="126">
        <f t="shared" si="0"/>
        <v>0</v>
      </c>
      <c r="E18" s="228">
        <f>'Annex 6 2016 RB XB'!E19</f>
        <v>0</v>
      </c>
      <c r="F18" s="228">
        <f>'Annex 6 2016 RB XB'!D19</f>
        <v>0</v>
      </c>
      <c r="G18" s="232">
        <f t="shared" si="1"/>
        <v>0</v>
      </c>
      <c r="H18" s="228">
        <f>'Annex 7 2017 RB XB'!E19</f>
        <v>0</v>
      </c>
      <c r="I18" s="228">
        <f>'Annex 7 2017 RB XB'!D19</f>
        <v>0</v>
      </c>
      <c r="J18" s="234">
        <f t="shared" si="2"/>
        <v>0</v>
      </c>
      <c r="K18" s="2"/>
    </row>
    <row r="19" spans="1:11" ht="20.100000000000001" customHeight="1" x14ac:dyDescent="0.2">
      <c r="A19" s="54">
        <v>1361</v>
      </c>
      <c r="B19" s="55" t="s">
        <v>41</v>
      </c>
      <c r="C19" s="65">
        <v>80000</v>
      </c>
      <c r="D19" s="126">
        <f t="shared" si="0"/>
        <v>0</v>
      </c>
      <c r="E19" s="228">
        <f>'Annex 6 2016 RB XB'!E20</f>
        <v>0</v>
      </c>
      <c r="F19" s="228">
        <f>'Annex 6 2016 RB XB'!D20</f>
        <v>0</v>
      </c>
      <c r="G19" s="232">
        <f t="shared" si="1"/>
        <v>4183.6640516843563</v>
      </c>
      <c r="H19" s="228">
        <f>'Annex 7 2017 RB XB'!E20</f>
        <v>4183.6640516843563</v>
      </c>
      <c r="I19" s="228">
        <f>'Annex 7 2017 RB XB'!D20</f>
        <v>0</v>
      </c>
      <c r="J19" s="234">
        <f t="shared" si="2"/>
        <v>4183.6640516843563</v>
      </c>
      <c r="K19" s="2"/>
    </row>
    <row r="20" spans="1:11" ht="20.100000000000001" customHeight="1" x14ac:dyDescent="0.2">
      <c r="A20" s="54">
        <v>1363</v>
      </c>
      <c r="B20" s="55" t="s">
        <v>14</v>
      </c>
      <c r="C20" s="65">
        <v>30000</v>
      </c>
      <c r="D20" s="126">
        <f t="shared" si="0"/>
        <v>0</v>
      </c>
      <c r="E20" s="228">
        <f>'Annex 6 2016 RB XB'!E21</f>
        <v>0</v>
      </c>
      <c r="F20" s="228">
        <f>'Annex 6 2016 RB XB'!D21</f>
        <v>0</v>
      </c>
      <c r="G20" s="232">
        <f t="shared" si="1"/>
        <v>0</v>
      </c>
      <c r="H20" s="228">
        <f>'Annex 7 2017 RB XB'!E21</f>
        <v>0</v>
      </c>
      <c r="I20" s="228">
        <f>'Annex 7 2017 RB XB'!D21</f>
        <v>0</v>
      </c>
      <c r="J20" s="234">
        <f t="shared" si="2"/>
        <v>0</v>
      </c>
      <c r="K20" s="2"/>
    </row>
    <row r="21" spans="1:11" ht="20.100000000000001" customHeight="1" x14ac:dyDescent="0.2">
      <c r="A21" s="54">
        <v>1401</v>
      </c>
      <c r="B21" s="55" t="s">
        <v>20</v>
      </c>
      <c r="C21" s="65">
        <v>45000</v>
      </c>
      <c r="D21" s="126">
        <f t="shared" si="0"/>
        <v>19200</v>
      </c>
      <c r="E21" s="228">
        <f>'Annex 6 2016 RB XB'!E22</f>
        <v>19200</v>
      </c>
      <c r="F21" s="228">
        <f>'Annex 6 2016 RB XB'!D22</f>
        <v>0</v>
      </c>
      <c r="G21" s="232">
        <f t="shared" si="1"/>
        <v>19200</v>
      </c>
      <c r="H21" s="228">
        <f>'Annex 7 2017 RB XB'!E22</f>
        <v>19200</v>
      </c>
      <c r="I21" s="228">
        <f>'Annex 7 2017 RB XB'!D22</f>
        <v>0</v>
      </c>
      <c r="J21" s="234">
        <f t="shared" si="2"/>
        <v>38400</v>
      </c>
      <c r="K21" s="2"/>
    </row>
    <row r="22" spans="1:11" ht="20.100000000000001" customHeight="1" x14ac:dyDescent="0.2">
      <c r="A22" s="54">
        <v>1402</v>
      </c>
      <c r="B22" s="55" t="s">
        <v>21</v>
      </c>
      <c r="C22" s="65">
        <v>30000</v>
      </c>
      <c r="D22" s="126">
        <f t="shared" si="0"/>
        <v>12000</v>
      </c>
      <c r="E22" s="228">
        <f>'Annex 6 2016 RB XB'!E23</f>
        <v>12000</v>
      </c>
      <c r="F22" s="228">
        <f>'Annex 6 2016 RB XB'!D23</f>
        <v>0</v>
      </c>
      <c r="G22" s="232">
        <f t="shared" si="1"/>
        <v>12000</v>
      </c>
      <c r="H22" s="228">
        <f>'Annex 7 2017 RB XB'!E23</f>
        <v>12000</v>
      </c>
      <c r="I22" s="228">
        <f>'Annex 7 2017 RB XB'!D23</f>
        <v>0</v>
      </c>
      <c r="J22" s="234">
        <f t="shared" si="2"/>
        <v>24000</v>
      </c>
      <c r="K22" s="2"/>
    </row>
    <row r="23" spans="1:11" ht="20.100000000000001" customHeight="1" x14ac:dyDescent="0.2">
      <c r="A23" s="54">
        <v>1403</v>
      </c>
      <c r="B23" s="56" t="s">
        <v>22</v>
      </c>
      <c r="C23" s="65">
        <v>60000</v>
      </c>
      <c r="D23" s="126">
        <f t="shared" si="0"/>
        <v>30000</v>
      </c>
      <c r="E23" s="228">
        <f>'Annex 6 2016 RB XB'!E24</f>
        <v>30000</v>
      </c>
      <c r="F23" s="228">
        <f>'Annex 6 2016 RB XB'!D24</f>
        <v>0</v>
      </c>
      <c r="G23" s="232">
        <f t="shared" si="1"/>
        <v>30000</v>
      </c>
      <c r="H23" s="228">
        <f>'Annex 7 2017 RB XB'!E24</f>
        <v>30000</v>
      </c>
      <c r="I23" s="228">
        <f>'Annex 7 2017 RB XB'!D24</f>
        <v>0</v>
      </c>
      <c r="J23" s="234">
        <f t="shared" si="2"/>
        <v>60000</v>
      </c>
      <c r="K23" s="2"/>
    </row>
    <row r="24" spans="1:11" ht="20.100000000000001" customHeight="1" x14ac:dyDescent="0.2">
      <c r="A24" s="54">
        <v>1404</v>
      </c>
      <c r="B24" s="55" t="s">
        <v>23</v>
      </c>
      <c r="C24" s="65">
        <v>50000</v>
      </c>
      <c r="D24" s="126">
        <f t="shared" si="0"/>
        <v>30000</v>
      </c>
      <c r="E24" s="228">
        <f>'Annex 6 2016 RB XB'!E25</f>
        <v>30000</v>
      </c>
      <c r="F24" s="228">
        <f>'Annex 6 2016 RB XB'!D25</f>
        <v>0</v>
      </c>
      <c r="G24" s="232">
        <f t="shared" si="1"/>
        <v>30000</v>
      </c>
      <c r="H24" s="228">
        <f>'Annex 7 2017 RB XB'!E25</f>
        <v>30000</v>
      </c>
      <c r="I24" s="228">
        <f>'Annex 7 2017 RB XB'!D25</f>
        <v>0</v>
      </c>
      <c r="J24" s="234">
        <f t="shared" si="2"/>
        <v>60000</v>
      </c>
      <c r="K24" s="2"/>
    </row>
    <row r="25" spans="1:11" ht="20.100000000000001" customHeight="1" x14ac:dyDescent="0.2">
      <c r="A25" s="54">
        <v>1405</v>
      </c>
      <c r="B25" s="55" t="s">
        <v>24</v>
      </c>
      <c r="C25" s="65">
        <v>10000</v>
      </c>
      <c r="D25" s="126">
        <f t="shared" si="0"/>
        <v>8400</v>
      </c>
      <c r="E25" s="228">
        <f>'Annex 6 2016 RB XB'!E26</f>
        <v>8400</v>
      </c>
      <c r="F25" s="228">
        <f>'Annex 6 2016 RB XB'!D26</f>
        <v>0</v>
      </c>
      <c r="G25" s="232">
        <f t="shared" si="1"/>
        <v>8400</v>
      </c>
      <c r="H25" s="228">
        <f>'Annex 7 2017 RB XB'!E26</f>
        <v>8400</v>
      </c>
      <c r="I25" s="228">
        <f>'Annex 7 2017 RB XB'!D26</f>
        <v>0</v>
      </c>
      <c r="J25" s="234">
        <f t="shared" si="2"/>
        <v>16800</v>
      </c>
      <c r="K25" s="2"/>
    </row>
    <row r="26" spans="1:11" ht="20.100000000000001" customHeight="1" x14ac:dyDescent="0.2">
      <c r="A26" s="54">
        <v>1501</v>
      </c>
      <c r="B26" s="55" t="s">
        <v>15</v>
      </c>
      <c r="C26" s="65">
        <v>300000</v>
      </c>
      <c r="D26" s="126">
        <f t="shared" si="0"/>
        <v>80000</v>
      </c>
      <c r="E26" s="228">
        <f>'Annex 6 2016 RB XB'!E27</f>
        <v>80000</v>
      </c>
      <c r="F26" s="228">
        <f>'Annex 6 2016 RB XB'!D27</f>
        <v>0</v>
      </c>
      <c r="G26" s="232">
        <f t="shared" si="1"/>
        <v>50000</v>
      </c>
      <c r="H26" s="228">
        <f>'Annex 7 2017 RB XB'!E27</f>
        <v>50000</v>
      </c>
      <c r="I26" s="228">
        <f>'Annex 7 2017 RB XB'!D27</f>
        <v>0</v>
      </c>
      <c r="J26" s="234">
        <f t="shared" si="2"/>
        <v>130000</v>
      </c>
      <c r="K26" s="2"/>
    </row>
    <row r="27" spans="1:11" ht="20.100000000000001" customHeight="1" x14ac:dyDescent="0.2">
      <c r="A27" s="54">
        <v>1600</v>
      </c>
      <c r="B27" s="55" t="s">
        <v>16</v>
      </c>
      <c r="C27" s="65">
        <v>50000</v>
      </c>
      <c r="D27" s="126">
        <f t="shared" si="0"/>
        <v>0</v>
      </c>
      <c r="E27" s="228">
        <f>'Annex 6 2016 RB XB'!E28</f>
        <v>0</v>
      </c>
      <c r="F27" s="228">
        <f>'Annex 6 2016 RB XB'!D28</f>
        <v>0</v>
      </c>
      <c r="G27" s="232">
        <f t="shared" si="1"/>
        <v>0</v>
      </c>
      <c r="H27" s="228">
        <f>'Annex 7 2017 RB XB'!E28</f>
        <v>0</v>
      </c>
      <c r="I27" s="228">
        <f>'Annex 7 2017 RB XB'!D28</f>
        <v>0</v>
      </c>
      <c r="J27" s="234">
        <f t="shared" si="2"/>
        <v>0</v>
      </c>
      <c r="K27" s="2"/>
    </row>
    <row r="28" spans="1:11" ht="20.100000000000001" customHeight="1" x14ac:dyDescent="0.2">
      <c r="A28" s="54">
        <v>1601</v>
      </c>
      <c r="B28" s="55" t="s">
        <v>42</v>
      </c>
      <c r="C28" s="65">
        <v>200000</v>
      </c>
      <c r="D28" s="126">
        <f t="shared" si="0"/>
        <v>224000</v>
      </c>
      <c r="E28" s="228">
        <f>'Annex 6 2016 RB XB'!E29</f>
        <v>164000</v>
      </c>
      <c r="F28" s="228">
        <f>'Annex 6 2016 RB XB'!D29</f>
        <v>60000</v>
      </c>
      <c r="G28" s="232">
        <f t="shared" si="1"/>
        <v>224000</v>
      </c>
      <c r="H28" s="228">
        <f>'Annex 7 2017 RB XB'!E29</f>
        <v>164000</v>
      </c>
      <c r="I28" s="228">
        <f>'Annex 7 2017 RB XB'!D29</f>
        <v>60000</v>
      </c>
      <c r="J28" s="234">
        <f t="shared" si="2"/>
        <v>448000</v>
      </c>
      <c r="K28" s="2"/>
    </row>
    <row r="29" spans="1:11" ht="20.100000000000001" customHeight="1" x14ac:dyDescent="0.2">
      <c r="A29" s="54">
        <v>1602</v>
      </c>
      <c r="B29" s="55" t="s">
        <v>18</v>
      </c>
      <c r="C29" s="65">
        <v>60000</v>
      </c>
      <c r="D29" s="126">
        <f t="shared" si="0"/>
        <v>10000</v>
      </c>
      <c r="E29" s="228">
        <f>'Annex 6 2016 RB XB'!E30</f>
        <v>0</v>
      </c>
      <c r="F29" s="228">
        <f>'Annex 6 2016 RB XB'!D30</f>
        <v>10000</v>
      </c>
      <c r="G29" s="232">
        <f t="shared" si="1"/>
        <v>10000</v>
      </c>
      <c r="H29" s="228">
        <f>'Annex 7 2017 RB XB'!E30</f>
        <v>0</v>
      </c>
      <c r="I29" s="228">
        <f>'Annex 7 2017 RB XB'!D30</f>
        <v>10000</v>
      </c>
      <c r="J29" s="234">
        <f t="shared" si="2"/>
        <v>20000</v>
      </c>
      <c r="K29" s="2"/>
    </row>
    <row r="30" spans="1:11" ht="20.100000000000001" customHeight="1" x14ac:dyDescent="0.2">
      <c r="A30" s="54">
        <v>2001</v>
      </c>
      <c r="B30" s="55" t="s">
        <v>34</v>
      </c>
      <c r="C30" s="65">
        <v>42000</v>
      </c>
      <c r="D30" s="126">
        <f t="shared" si="0"/>
        <v>0</v>
      </c>
      <c r="E30" s="228">
        <f>'Annex 6 2016 RB XB'!E31</f>
        <v>0</v>
      </c>
      <c r="F30" s="228">
        <f>'Annex 6 2016 RB XB'!D31</f>
        <v>0</v>
      </c>
      <c r="G30" s="232">
        <f t="shared" si="1"/>
        <v>0</v>
      </c>
      <c r="H30" s="228">
        <f>'Annex 7 2017 RB XB'!E31</f>
        <v>0</v>
      </c>
      <c r="I30" s="228">
        <f>'Annex 7 2017 RB XB'!D31</f>
        <v>0</v>
      </c>
      <c r="J30" s="234">
        <f t="shared" si="2"/>
        <v>0</v>
      </c>
      <c r="K30" s="2"/>
    </row>
    <row r="31" spans="1:11" ht="20.100000000000001" customHeight="1" x14ac:dyDescent="0.2">
      <c r="A31" s="54">
        <v>2020</v>
      </c>
      <c r="B31" s="55" t="s">
        <v>19</v>
      </c>
      <c r="C31" s="65">
        <v>80000</v>
      </c>
      <c r="D31" s="126">
        <f t="shared" si="0"/>
        <v>0</v>
      </c>
      <c r="E31" s="228">
        <f>'Annex 6 2016 RB XB'!E32</f>
        <v>0</v>
      </c>
      <c r="F31" s="228">
        <f>'Annex 6 2016 RB XB'!D32</f>
        <v>0</v>
      </c>
      <c r="G31" s="232">
        <f t="shared" si="1"/>
        <v>0</v>
      </c>
      <c r="H31" s="228">
        <f>'Annex 7 2017 RB XB'!E32</f>
        <v>0</v>
      </c>
      <c r="I31" s="228">
        <f>'Annex 7 2017 RB XB'!D32</f>
        <v>0</v>
      </c>
      <c r="J31" s="234">
        <f t="shared" si="2"/>
        <v>0</v>
      </c>
      <c r="K31" s="2"/>
    </row>
    <row r="32" spans="1:11" ht="20.100000000000001" customHeight="1" x14ac:dyDescent="0.2">
      <c r="A32" s="54">
        <v>2040</v>
      </c>
      <c r="B32" s="55" t="s">
        <v>43</v>
      </c>
      <c r="C32" s="65">
        <v>10000</v>
      </c>
      <c r="D32" s="126">
        <f t="shared" si="0"/>
        <v>0</v>
      </c>
      <c r="E32" s="228">
        <f>'Annex 6 2016 RB XB'!E33</f>
        <v>0</v>
      </c>
      <c r="F32" s="228">
        <f>'Annex 6 2016 RB XB'!D33</f>
        <v>0</v>
      </c>
      <c r="G32" s="232">
        <f t="shared" si="1"/>
        <v>0</v>
      </c>
      <c r="H32" s="228">
        <f>'Annex 7 2017 RB XB'!E33</f>
        <v>0</v>
      </c>
      <c r="I32" s="228">
        <f>'Annex 7 2017 RB XB'!D33</f>
        <v>0</v>
      </c>
      <c r="J32" s="234">
        <f t="shared" si="2"/>
        <v>0</v>
      </c>
      <c r="K32" s="2"/>
    </row>
    <row r="33" spans="1:11" ht="20.100000000000001" customHeight="1" x14ac:dyDescent="0.2">
      <c r="A33" s="54">
        <v>3100</v>
      </c>
      <c r="B33" s="55" t="s">
        <v>67</v>
      </c>
      <c r="C33" s="65">
        <v>50000</v>
      </c>
      <c r="D33" s="126">
        <f t="shared" si="0"/>
        <v>0</v>
      </c>
      <c r="E33" s="228">
        <f>'Annex 6 2016 RB XB'!E34</f>
        <v>0</v>
      </c>
      <c r="F33" s="228">
        <f>'Annex 6 2016 RB XB'!D34</f>
        <v>0</v>
      </c>
      <c r="G33" s="232">
        <f t="shared" si="1"/>
        <v>0</v>
      </c>
      <c r="H33" s="228">
        <f>'Annex 7 2017 RB XB'!E34</f>
        <v>0</v>
      </c>
      <c r="I33" s="228">
        <f>'Annex 7 2017 RB XB'!D34</f>
        <v>0</v>
      </c>
      <c r="J33" s="234">
        <f t="shared" si="2"/>
        <v>0</v>
      </c>
      <c r="K33" s="2"/>
    </row>
    <row r="34" spans="1:11" ht="20.100000000000001" customHeight="1" x14ac:dyDescent="0.2">
      <c r="A34" s="54">
        <v>3200</v>
      </c>
      <c r="B34" s="55" t="s">
        <v>8</v>
      </c>
      <c r="C34" s="65">
        <v>30000</v>
      </c>
      <c r="D34" s="126">
        <f t="shared" si="0"/>
        <v>60000</v>
      </c>
      <c r="E34" s="228">
        <f>'Annex 6 2016 RB XB'!E35</f>
        <v>60000</v>
      </c>
      <c r="F34" s="228">
        <f>'Annex 6 2016 RB XB'!D35</f>
        <v>0</v>
      </c>
      <c r="G34" s="232">
        <f t="shared" si="1"/>
        <v>35000</v>
      </c>
      <c r="H34" s="228">
        <f>'Annex 7 2017 RB XB'!E35</f>
        <v>35000</v>
      </c>
      <c r="I34" s="228">
        <f>'Annex 7 2017 RB XB'!D35</f>
        <v>0</v>
      </c>
      <c r="J34" s="234">
        <f t="shared" si="2"/>
        <v>95000</v>
      </c>
    </row>
    <row r="35" spans="1:11" s="29" customFormat="1" ht="26.25" customHeight="1" x14ac:dyDescent="0.2">
      <c r="A35" s="54">
        <v>3201</v>
      </c>
      <c r="B35" s="73" t="s">
        <v>72</v>
      </c>
      <c r="C35" s="65">
        <v>1355800</v>
      </c>
      <c r="D35" s="126">
        <f t="shared" si="0"/>
        <v>185000</v>
      </c>
      <c r="E35" s="228">
        <f>'Annex 6 2016 RB XB'!E36</f>
        <v>0</v>
      </c>
      <c r="F35" s="228">
        <f>'Annex 6 2016 RB XB'!D36</f>
        <v>185000</v>
      </c>
      <c r="G35" s="232">
        <f t="shared" si="1"/>
        <v>185000</v>
      </c>
      <c r="H35" s="228">
        <f>'Annex 7 2017 RB XB'!E36</f>
        <v>0</v>
      </c>
      <c r="I35" s="228">
        <f>'Annex 7 2017 RB XB'!D36</f>
        <v>185000</v>
      </c>
      <c r="J35" s="234">
        <f t="shared" si="2"/>
        <v>370000</v>
      </c>
    </row>
    <row r="36" spans="1:11" ht="20.100000000000001" customHeight="1" x14ac:dyDescent="0.2">
      <c r="A36" s="54">
        <v>3205</v>
      </c>
      <c r="B36" s="55" t="s">
        <v>30</v>
      </c>
      <c r="C36" s="65">
        <v>60000</v>
      </c>
      <c r="D36" s="126">
        <f t="shared" si="0"/>
        <v>0</v>
      </c>
      <c r="E36" s="228">
        <f>'Annex 6 2016 RB XB'!E37</f>
        <v>0</v>
      </c>
      <c r="F36" s="228">
        <f>'Annex 6 2016 RB XB'!D37</f>
        <v>0</v>
      </c>
      <c r="G36" s="232">
        <f t="shared" si="1"/>
        <v>0</v>
      </c>
      <c r="H36" s="228">
        <f>'Annex 7 2017 RB XB'!E37</f>
        <v>0</v>
      </c>
      <c r="I36" s="228">
        <f>'Annex 7 2017 RB XB'!D37</f>
        <v>0</v>
      </c>
      <c r="J36" s="234">
        <f t="shared" si="2"/>
        <v>0</v>
      </c>
    </row>
    <row r="37" spans="1:11" ht="20.100000000000001" customHeight="1" x14ac:dyDescent="0.2">
      <c r="A37" s="54">
        <v>3206</v>
      </c>
      <c r="B37" s="55" t="s">
        <v>74</v>
      </c>
      <c r="C37" s="65"/>
      <c r="D37" s="126">
        <f t="shared" si="0"/>
        <v>41000</v>
      </c>
      <c r="E37" s="228">
        <f>'Annex 6 2016 RB XB'!E38</f>
        <v>41000</v>
      </c>
      <c r="F37" s="228">
        <f>'Annex 6 2016 RB XB'!D38</f>
        <v>0</v>
      </c>
      <c r="G37" s="232">
        <f t="shared" si="1"/>
        <v>29000</v>
      </c>
      <c r="H37" s="228">
        <f>'Annex 7 2017 RB XB'!E38</f>
        <v>29000</v>
      </c>
      <c r="I37" s="228">
        <f>'Annex 7 2017 RB XB'!D38</f>
        <v>0</v>
      </c>
      <c r="J37" s="234"/>
    </row>
    <row r="38" spans="1:11" ht="20.100000000000001" customHeight="1" x14ac:dyDescent="0.2">
      <c r="A38" s="54">
        <v>3211</v>
      </c>
      <c r="B38" s="55" t="s">
        <v>75</v>
      </c>
      <c r="C38" s="65"/>
      <c r="D38" s="126">
        <f t="shared" si="0"/>
        <v>0</v>
      </c>
      <c r="E38" s="228">
        <f>'Annex 6 2016 RB XB'!E39</f>
        <v>0</v>
      </c>
      <c r="F38" s="228">
        <f>'Annex 6 2016 RB XB'!D39</f>
        <v>0</v>
      </c>
      <c r="G38" s="232">
        <f t="shared" si="1"/>
        <v>0</v>
      </c>
      <c r="H38" s="228">
        <f>'Annex 7 2017 RB XB'!E39</f>
        <v>0</v>
      </c>
      <c r="I38" s="228">
        <f>'Annex 7 2017 RB XB'!D39</f>
        <v>0</v>
      </c>
      <c r="J38" s="234"/>
    </row>
    <row r="39" spans="1:11" ht="20.100000000000001" customHeight="1" x14ac:dyDescent="0.2">
      <c r="A39" s="54">
        <v>4001</v>
      </c>
      <c r="B39" s="55" t="s">
        <v>35</v>
      </c>
      <c r="C39" s="65">
        <v>20000</v>
      </c>
      <c r="D39" s="126">
        <f t="shared" si="0"/>
        <v>15000</v>
      </c>
      <c r="E39" s="228">
        <f>'Annex 6 2016 RB XB'!E40</f>
        <v>15000</v>
      </c>
      <c r="F39" s="228">
        <f>'Annex 6 2016 RB XB'!D40</f>
        <v>0</v>
      </c>
      <c r="G39" s="232">
        <f t="shared" si="1"/>
        <v>0</v>
      </c>
      <c r="H39" s="228">
        <f>'Annex 7 2017 RB XB'!E40</f>
        <v>0</v>
      </c>
      <c r="I39" s="228">
        <f>'Annex 7 2017 RB XB'!D40</f>
        <v>0</v>
      </c>
      <c r="J39" s="234">
        <f t="shared" si="2"/>
        <v>15000</v>
      </c>
    </row>
    <row r="40" spans="1:11" ht="20.100000000000001" customHeight="1" x14ac:dyDescent="0.2">
      <c r="A40" s="54">
        <v>4002</v>
      </c>
      <c r="B40" s="55" t="s">
        <v>49</v>
      </c>
      <c r="C40" s="65">
        <v>20000</v>
      </c>
      <c r="D40" s="126">
        <f t="shared" si="0"/>
        <v>5000</v>
      </c>
      <c r="E40" s="228">
        <f>'Annex 6 2016 RB XB'!E41</f>
        <v>5000</v>
      </c>
      <c r="F40" s="228">
        <f>'Annex 6 2016 RB XB'!D41</f>
        <v>0</v>
      </c>
      <c r="G40" s="232">
        <f t="shared" si="1"/>
        <v>5000</v>
      </c>
      <c r="H40" s="228">
        <f>'Annex 7 2017 RB XB'!E41</f>
        <v>5000</v>
      </c>
      <c r="I40" s="228">
        <f>'Annex 7 2017 RB XB'!D41</f>
        <v>0</v>
      </c>
      <c r="J40" s="234">
        <f t="shared" si="2"/>
        <v>10000</v>
      </c>
    </row>
    <row r="41" spans="1:11" ht="20.100000000000001" customHeight="1" x14ac:dyDescent="0.2">
      <c r="A41" s="54">
        <v>4003</v>
      </c>
      <c r="B41" s="55" t="s">
        <v>44</v>
      </c>
      <c r="C41" s="65">
        <v>10000</v>
      </c>
      <c r="D41" s="126">
        <f t="shared" si="0"/>
        <v>5000</v>
      </c>
      <c r="E41" s="228">
        <f>'Annex 6 2016 RB XB'!E42</f>
        <v>5000</v>
      </c>
      <c r="F41" s="228">
        <f>'Annex 6 2016 RB XB'!D42</f>
        <v>0</v>
      </c>
      <c r="G41" s="232">
        <f t="shared" si="1"/>
        <v>30000</v>
      </c>
      <c r="H41" s="228">
        <f>'Annex 7 2017 RB XB'!E42</f>
        <v>30000</v>
      </c>
      <c r="I41" s="228">
        <f>'Annex 7 2017 RB XB'!D42</f>
        <v>0</v>
      </c>
      <c r="J41" s="234">
        <f t="shared" si="2"/>
        <v>35000</v>
      </c>
    </row>
    <row r="42" spans="1:11" ht="20.100000000000001" customHeight="1" x14ac:dyDescent="0.2">
      <c r="A42" s="54">
        <v>4004</v>
      </c>
      <c r="B42" s="55" t="s">
        <v>27</v>
      </c>
      <c r="C42" s="65">
        <v>10000</v>
      </c>
      <c r="D42" s="126">
        <f t="shared" si="0"/>
        <v>0</v>
      </c>
      <c r="E42" s="228">
        <f>'Annex 6 2016 RB XB'!E43</f>
        <v>0</v>
      </c>
      <c r="F42" s="228">
        <f>'Annex 6 2016 RB XB'!D43</f>
        <v>0</v>
      </c>
      <c r="G42" s="232">
        <f t="shared" si="1"/>
        <v>0</v>
      </c>
      <c r="H42" s="228">
        <f>'Annex 7 2017 RB XB'!E43</f>
        <v>0</v>
      </c>
      <c r="I42" s="228">
        <f>'Annex 7 2017 RB XB'!D43</f>
        <v>0</v>
      </c>
      <c r="J42" s="234">
        <f t="shared" si="2"/>
        <v>0</v>
      </c>
    </row>
    <row r="43" spans="1:11" ht="20.100000000000001" customHeight="1" x14ac:dyDescent="0.2">
      <c r="A43" s="54">
        <v>4030</v>
      </c>
      <c r="B43" s="55" t="s">
        <v>26</v>
      </c>
      <c r="C43" s="65">
        <v>15000</v>
      </c>
      <c r="D43" s="126">
        <f t="shared" si="0"/>
        <v>2000</v>
      </c>
      <c r="E43" s="228">
        <f>'Annex 6 2016 RB XB'!E44</f>
        <v>2000</v>
      </c>
      <c r="F43" s="228">
        <f>'Annex 6 2016 RB XB'!D44</f>
        <v>0</v>
      </c>
      <c r="G43" s="232">
        <f t="shared" si="1"/>
        <v>2000</v>
      </c>
      <c r="H43" s="228">
        <f>'Annex 7 2017 RB XB'!E44</f>
        <v>2000</v>
      </c>
      <c r="I43" s="228">
        <f>'Annex 7 2017 RB XB'!D44</f>
        <v>0</v>
      </c>
      <c r="J43" s="234">
        <f t="shared" si="2"/>
        <v>4000</v>
      </c>
    </row>
    <row r="44" spans="1:11" ht="20.100000000000001" customHeight="1" x14ac:dyDescent="0.2">
      <c r="A44" s="54">
        <v>4035</v>
      </c>
      <c r="B44" s="55" t="s">
        <v>45</v>
      </c>
      <c r="C44" s="65">
        <v>6000</v>
      </c>
      <c r="D44" s="126">
        <f t="shared" si="0"/>
        <v>0</v>
      </c>
      <c r="E44" s="228">
        <f>'Annex 6 2016 RB XB'!E45</f>
        <v>0</v>
      </c>
      <c r="F44" s="228">
        <f>'Annex 6 2016 RB XB'!D45</f>
        <v>0</v>
      </c>
      <c r="G44" s="232">
        <f t="shared" si="1"/>
        <v>0</v>
      </c>
      <c r="H44" s="228">
        <f>'Annex 7 2017 RB XB'!E45</f>
        <v>0</v>
      </c>
      <c r="I44" s="228">
        <f>'Annex 7 2017 RB XB'!D45</f>
        <v>0</v>
      </c>
      <c r="J44" s="234">
        <f t="shared" si="2"/>
        <v>0</v>
      </c>
    </row>
    <row r="45" spans="1:11" ht="20.100000000000001" customHeight="1" x14ac:dyDescent="0.2">
      <c r="A45" s="54">
        <v>4100</v>
      </c>
      <c r="B45" s="55" t="s">
        <v>29</v>
      </c>
      <c r="C45" s="65">
        <v>50000</v>
      </c>
      <c r="D45" s="126">
        <f t="shared" si="0"/>
        <v>7500</v>
      </c>
      <c r="E45" s="228">
        <f>'Annex 6 2016 RB XB'!E46</f>
        <v>7500</v>
      </c>
      <c r="F45" s="228">
        <f>'Annex 6 2016 RB XB'!D46</f>
        <v>0</v>
      </c>
      <c r="G45" s="232">
        <f t="shared" si="1"/>
        <v>7500</v>
      </c>
      <c r="H45" s="228">
        <f>'Annex 7 2017 RB XB'!E46</f>
        <v>7500</v>
      </c>
      <c r="I45" s="228">
        <f>'Annex 7 2017 RB XB'!D46</f>
        <v>0</v>
      </c>
      <c r="J45" s="234">
        <f t="shared" si="2"/>
        <v>15000</v>
      </c>
    </row>
    <row r="46" spans="1:11" ht="20.100000000000001" customHeight="1" x14ac:dyDescent="0.2">
      <c r="A46" s="54">
        <v>4200</v>
      </c>
      <c r="B46" s="55" t="s">
        <v>31</v>
      </c>
      <c r="C46" s="65">
        <v>160000</v>
      </c>
      <c r="D46" s="126">
        <f t="shared" si="0"/>
        <v>50000</v>
      </c>
      <c r="E46" s="228">
        <f>'Annex 6 2016 RB XB'!E47</f>
        <v>50000</v>
      </c>
      <c r="F46" s="228">
        <f>'Annex 6 2016 RB XB'!D47</f>
        <v>0</v>
      </c>
      <c r="G46" s="232">
        <f t="shared" si="1"/>
        <v>40000</v>
      </c>
      <c r="H46" s="228">
        <f>'Annex 7 2017 RB XB'!E47</f>
        <v>40000</v>
      </c>
      <c r="I46" s="228">
        <f>'Annex 7 2017 RB XB'!D47</f>
        <v>0</v>
      </c>
      <c r="J46" s="234">
        <f t="shared" si="2"/>
        <v>90000</v>
      </c>
    </row>
    <row r="47" spans="1:11" ht="20.100000000000001" customHeight="1" x14ac:dyDescent="0.2">
      <c r="A47" s="54">
        <v>4300</v>
      </c>
      <c r="B47" s="55" t="s">
        <v>9</v>
      </c>
      <c r="C47" s="65">
        <v>200000</v>
      </c>
      <c r="D47" s="126">
        <f t="shared" si="0"/>
        <v>100000</v>
      </c>
      <c r="E47" s="228">
        <f>'Annex 6 2016 RB XB'!E48</f>
        <v>100000</v>
      </c>
      <c r="F47" s="228">
        <f>'Annex 6 2016 RB XB'!D48</f>
        <v>0</v>
      </c>
      <c r="G47" s="232">
        <f t="shared" si="1"/>
        <v>60000</v>
      </c>
      <c r="H47" s="228">
        <f>'Annex 7 2017 RB XB'!E48</f>
        <v>60000</v>
      </c>
      <c r="I47" s="228">
        <f>'Annex 7 2017 RB XB'!D48</f>
        <v>0</v>
      </c>
      <c r="J47" s="234">
        <f t="shared" si="2"/>
        <v>160000</v>
      </c>
    </row>
    <row r="48" spans="1:11" ht="20.100000000000001" customHeight="1" x14ac:dyDescent="0.2">
      <c r="A48" s="57">
        <v>4400</v>
      </c>
      <c r="B48" s="55" t="s">
        <v>10</v>
      </c>
      <c r="C48" s="65">
        <v>80000</v>
      </c>
      <c r="D48" s="126">
        <f t="shared" si="0"/>
        <v>20000</v>
      </c>
      <c r="E48" s="228">
        <f>'Annex 6 2016 RB XB'!E49</f>
        <v>20000</v>
      </c>
      <c r="F48" s="228">
        <f>'Annex 6 2016 RB XB'!D49</f>
        <v>0</v>
      </c>
      <c r="G48" s="232">
        <f t="shared" si="1"/>
        <v>20000</v>
      </c>
      <c r="H48" s="228">
        <f>'Annex 7 2017 RB XB'!E49</f>
        <v>20000</v>
      </c>
      <c r="I48" s="228">
        <f>'Annex 7 2017 RB XB'!D49</f>
        <v>0</v>
      </c>
      <c r="J48" s="234">
        <f t="shared" si="2"/>
        <v>40000</v>
      </c>
    </row>
    <row r="49" spans="1:10" ht="20.100000000000001" customHeight="1" x14ac:dyDescent="0.2">
      <c r="A49" s="57">
        <v>4410</v>
      </c>
      <c r="B49" s="55" t="s">
        <v>66</v>
      </c>
      <c r="C49" s="65">
        <v>40000</v>
      </c>
      <c r="D49" s="126">
        <f t="shared" si="0"/>
        <v>30000</v>
      </c>
      <c r="E49" s="228">
        <f>'Annex 6 2016 RB XB'!E50</f>
        <v>30000</v>
      </c>
      <c r="F49" s="228">
        <f>'Annex 6 2016 RB XB'!D50</f>
        <v>0</v>
      </c>
      <c r="G49" s="232">
        <f t="shared" si="1"/>
        <v>30000</v>
      </c>
      <c r="H49" s="228">
        <f>'Annex 7 2017 RB XB'!E50</f>
        <v>30000</v>
      </c>
      <c r="I49" s="228">
        <f>'Annex 7 2017 RB XB'!D50</f>
        <v>0</v>
      </c>
      <c r="J49" s="234">
        <f t="shared" si="2"/>
        <v>60000</v>
      </c>
    </row>
    <row r="50" spans="1:10" ht="20.100000000000001" customHeight="1" x14ac:dyDescent="0.2">
      <c r="A50" s="57">
        <v>4500</v>
      </c>
      <c r="B50" s="55" t="s">
        <v>36</v>
      </c>
      <c r="C50" s="65">
        <v>20000</v>
      </c>
      <c r="D50" s="126">
        <f t="shared" si="0"/>
        <v>5000</v>
      </c>
      <c r="E50" s="228">
        <f>'Annex 6 2016 RB XB'!E51</f>
        <v>5000</v>
      </c>
      <c r="F50" s="228">
        <f>'Annex 6 2016 RB XB'!D51</f>
        <v>0</v>
      </c>
      <c r="G50" s="232">
        <f t="shared" si="1"/>
        <v>5000</v>
      </c>
      <c r="H50" s="228">
        <f>'Annex 7 2017 RB XB'!E51</f>
        <v>5000</v>
      </c>
      <c r="I50" s="228">
        <f>'Annex 7 2017 RB XB'!D51</f>
        <v>0</v>
      </c>
      <c r="J50" s="234">
        <f t="shared" si="2"/>
        <v>10000</v>
      </c>
    </row>
    <row r="51" spans="1:10" ht="20.100000000000001" customHeight="1" x14ac:dyDescent="0.2">
      <c r="A51" s="57">
        <v>4600</v>
      </c>
      <c r="B51" s="55" t="s">
        <v>11</v>
      </c>
      <c r="C51" s="65">
        <v>50000</v>
      </c>
      <c r="D51" s="126">
        <f t="shared" si="0"/>
        <v>0</v>
      </c>
      <c r="E51" s="228">
        <f>'Annex 6 2016 RB XB'!E52</f>
        <v>0</v>
      </c>
      <c r="F51" s="228">
        <f>'Annex 6 2016 RB XB'!D52</f>
        <v>0</v>
      </c>
      <c r="G51" s="232">
        <f t="shared" si="1"/>
        <v>0</v>
      </c>
      <c r="H51" s="228">
        <f>'Annex 7 2017 RB XB'!E52</f>
        <v>0</v>
      </c>
      <c r="I51" s="228">
        <f>'Annex 7 2017 RB XB'!D52</f>
        <v>0</v>
      </c>
      <c r="J51" s="234">
        <f t="shared" si="2"/>
        <v>0</v>
      </c>
    </row>
    <row r="52" spans="1:10" ht="20.100000000000001" customHeight="1" x14ac:dyDescent="0.2">
      <c r="A52" s="57">
        <v>5010</v>
      </c>
      <c r="B52" s="55" t="s">
        <v>25</v>
      </c>
      <c r="C52" s="65">
        <v>20000</v>
      </c>
      <c r="D52" s="126">
        <f t="shared" si="0"/>
        <v>6000</v>
      </c>
      <c r="E52" s="228">
        <f>'Annex 6 2016 RB XB'!E53</f>
        <v>6000</v>
      </c>
      <c r="F52" s="228">
        <f>'Annex 6 2016 RB XB'!D53</f>
        <v>0</v>
      </c>
      <c r="G52" s="232">
        <f t="shared" si="1"/>
        <v>6500</v>
      </c>
      <c r="H52" s="228">
        <f>'Annex 7 2017 RB XB'!E53</f>
        <v>6500</v>
      </c>
      <c r="I52" s="228">
        <f>'Annex 7 2017 RB XB'!D53</f>
        <v>0</v>
      </c>
      <c r="J52" s="234">
        <f t="shared" si="2"/>
        <v>12500</v>
      </c>
    </row>
    <row r="53" spans="1:10" ht="20.100000000000001" customHeight="1" x14ac:dyDescent="0.2">
      <c r="A53" s="57">
        <v>5040</v>
      </c>
      <c r="B53" s="55" t="s">
        <v>33</v>
      </c>
      <c r="C53" s="65">
        <v>80000</v>
      </c>
      <c r="D53" s="126">
        <f t="shared" si="0"/>
        <v>480000</v>
      </c>
      <c r="E53" s="228">
        <f>'Annex 6 2016 RB XB'!E54</f>
        <v>480000</v>
      </c>
      <c r="F53" s="228">
        <f>'Annex 6 2016 RB XB'!D54</f>
        <v>0</v>
      </c>
      <c r="G53" s="232">
        <f t="shared" si="1"/>
        <v>150000</v>
      </c>
      <c r="H53" s="228">
        <f>'Annex 7 2017 RB XB'!E54</f>
        <v>150000</v>
      </c>
      <c r="I53" s="228">
        <f>'Annex 7 2017 RB XB'!D54</f>
        <v>0</v>
      </c>
      <c r="J53" s="234">
        <f t="shared" si="2"/>
        <v>630000</v>
      </c>
    </row>
    <row r="54" spans="1:10" s="29" customFormat="1" ht="20.100000000000001" customHeight="1" x14ac:dyDescent="0.2">
      <c r="A54" s="57">
        <v>5200</v>
      </c>
      <c r="B54" s="55" t="s">
        <v>46</v>
      </c>
      <c r="C54" s="65">
        <v>100000</v>
      </c>
      <c r="D54" s="126">
        <f t="shared" si="0"/>
        <v>140000</v>
      </c>
      <c r="E54" s="228">
        <f>'Annex 6 2016 RB XB'!E55</f>
        <v>140000</v>
      </c>
      <c r="F54" s="228">
        <f>'Annex 6 2016 RB XB'!D55</f>
        <v>0</v>
      </c>
      <c r="G54" s="232">
        <f t="shared" si="1"/>
        <v>105000</v>
      </c>
      <c r="H54" s="228">
        <f>'Annex 7 2017 RB XB'!E55</f>
        <v>105000</v>
      </c>
      <c r="I54" s="228">
        <f>'Annex 7 2017 RB XB'!D55</f>
        <v>0</v>
      </c>
      <c r="J54" s="234">
        <f t="shared" si="2"/>
        <v>245000</v>
      </c>
    </row>
    <row r="55" spans="1:10" ht="20.100000000000001" customHeight="1" x14ac:dyDescent="0.2">
      <c r="A55" s="57">
        <v>5300</v>
      </c>
      <c r="B55" s="55" t="s">
        <v>28</v>
      </c>
      <c r="C55" s="65">
        <v>40000</v>
      </c>
      <c r="D55" s="126">
        <f t="shared" si="0"/>
        <v>5000</v>
      </c>
      <c r="E55" s="228">
        <f>'Annex 6 2016 RB XB'!E56</f>
        <v>5000</v>
      </c>
      <c r="F55" s="228">
        <f>'Annex 6 2016 RB XB'!D56</f>
        <v>0</v>
      </c>
      <c r="G55" s="232">
        <f t="shared" si="1"/>
        <v>5000</v>
      </c>
      <c r="H55" s="228">
        <f>'Annex 7 2017 RB XB'!E56</f>
        <v>5000</v>
      </c>
      <c r="I55" s="228">
        <f>'Annex 7 2017 RB XB'!D56</f>
        <v>0</v>
      </c>
      <c r="J55" s="234">
        <f t="shared" si="2"/>
        <v>10000</v>
      </c>
    </row>
    <row r="56" spans="1:10" ht="20.100000000000001" customHeight="1" x14ac:dyDescent="0.2">
      <c r="A56" s="58">
        <v>5400</v>
      </c>
      <c r="B56" s="59" t="s">
        <v>47</v>
      </c>
      <c r="C56" s="66">
        <v>50000</v>
      </c>
      <c r="D56" s="126">
        <f t="shared" si="0"/>
        <v>11000</v>
      </c>
      <c r="E56" s="229">
        <f>'Annex 6 2016 RB XB'!E58</f>
        <v>11000</v>
      </c>
      <c r="F56" s="229">
        <f>'Annex 6 2016 RB XB'!D58</f>
        <v>0</v>
      </c>
      <c r="G56" s="232">
        <f t="shared" si="1"/>
        <v>11000</v>
      </c>
      <c r="H56" s="229">
        <f>'Annex 7 2017 RB XB'!E58</f>
        <v>11000</v>
      </c>
      <c r="I56" s="229">
        <f>'Annex 7 2017 RB XB'!D58</f>
        <v>0</v>
      </c>
      <c r="J56" s="234">
        <f t="shared" si="2"/>
        <v>22000</v>
      </c>
    </row>
    <row r="57" spans="1:10" ht="20.100000000000001" customHeight="1" thickBot="1" x14ac:dyDescent="0.25">
      <c r="A57" s="60"/>
      <c r="B57" s="61" t="s">
        <v>48</v>
      </c>
      <c r="C57" s="62">
        <f t="shared" ref="C57:J57" si="3">SUM(C6:C56)</f>
        <v>6822713</v>
      </c>
      <c r="D57" s="67">
        <f t="shared" si="3"/>
        <v>3501100</v>
      </c>
      <c r="E57" s="226">
        <f t="shared" si="3"/>
        <v>2201100</v>
      </c>
      <c r="F57" s="227">
        <f t="shared" si="3"/>
        <v>1300000</v>
      </c>
      <c r="G57" s="77">
        <f t="shared" si="3"/>
        <v>3183783.6640516846</v>
      </c>
      <c r="H57" s="226">
        <f t="shared" si="3"/>
        <v>1883783.6640516843</v>
      </c>
      <c r="I57" s="226">
        <f>SUM(I6:I56)</f>
        <v>1300000</v>
      </c>
      <c r="J57" s="67">
        <f t="shared" si="3"/>
        <v>6614883.6640516846</v>
      </c>
    </row>
    <row r="58" spans="1:10" x14ac:dyDescent="0.2">
      <c r="D58" s="51"/>
      <c r="F58" s="51"/>
      <c r="G58" s="51"/>
      <c r="H58" s="51"/>
    </row>
    <row r="59" spans="1:10" x14ac:dyDescent="0.2">
      <c r="D59" s="51"/>
      <c r="G59" s="51"/>
    </row>
  </sheetData>
  <mergeCells count="7">
    <mergeCell ref="E3:E5"/>
    <mergeCell ref="F3:F5"/>
    <mergeCell ref="H3:H5"/>
    <mergeCell ref="I3:I5"/>
    <mergeCell ref="A2:J2"/>
    <mergeCell ref="A3:A5"/>
    <mergeCell ref="B3:B5"/>
  </mergeCells>
  <printOptions horizontalCentered="1" verticalCentered="1"/>
  <pageMargins left="0.35433070866141736" right="0.23622047244094491" top="0.23622047244094491" bottom="0" header="0.31496062992125984" footer="0.31496062992125984"/>
  <pageSetup scale="70" orientation="portrait" horizontalDpi="4294967293"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4"/>
  <sheetViews>
    <sheetView view="pageBreakPreview" topLeftCell="A4" zoomScale="80" zoomScaleNormal="100" zoomScaleSheetLayoutView="80" workbookViewId="0">
      <selection activeCell="E14" sqref="E14"/>
    </sheetView>
  </sheetViews>
  <sheetFormatPr defaultColWidth="11.42578125" defaultRowHeight="12.75" x14ac:dyDescent="0.2"/>
  <cols>
    <col min="1" max="1" width="8.42578125" style="50" customWidth="1"/>
    <col min="2" max="2" width="72.42578125" style="50" customWidth="1"/>
    <col min="3" max="3" width="35.7109375" style="50" bestFit="1" customWidth="1"/>
    <col min="4" max="5" width="19.5703125" style="50" customWidth="1"/>
    <col min="6" max="6" width="11.5703125" style="50" customWidth="1"/>
    <col min="7" max="16384" width="11.42578125" style="50"/>
  </cols>
  <sheetData>
    <row r="1" spans="2:7" ht="15.75" x14ac:dyDescent="0.2">
      <c r="B1" s="369" t="s">
        <v>62</v>
      </c>
      <c r="C1" s="369"/>
      <c r="D1" s="369"/>
      <c r="E1" s="369"/>
    </row>
    <row r="2" spans="2:7" ht="15.75" x14ac:dyDescent="0.2">
      <c r="B2" s="369" t="s">
        <v>98</v>
      </c>
      <c r="C2" s="369"/>
      <c r="D2" s="369"/>
      <c r="E2" s="369"/>
      <c r="F2" s="78"/>
    </row>
    <row r="3" spans="2:7" ht="15.75" x14ac:dyDescent="0.2">
      <c r="B3" s="79"/>
      <c r="C3" s="79"/>
      <c r="D3" s="79"/>
      <c r="E3" s="79"/>
    </row>
    <row r="4" spans="2:7" ht="31.5" x14ac:dyDescent="0.2">
      <c r="B4" s="300" t="s">
        <v>289</v>
      </c>
      <c r="C4" s="27" t="s">
        <v>268</v>
      </c>
      <c r="D4" s="5" t="s">
        <v>249</v>
      </c>
      <c r="E4" s="5" t="s">
        <v>250</v>
      </c>
      <c r="F4" s="8"/>
    </row>
    <row r="5" spans="2:7" s="80" customFormat="1" ht="24" customHeight="1" x14ac:dyDescent="0.2">
      <c r="B5" s="237" t="s">
        <v>61</v>
      </c>
      <c r="C5" s="26"/>
      <c r="D5" s="26"/>
      <c r="E5" s="26"/>
      <c r="F5" s="25"/>
    </row>
    <row r="6" spans="2:7" ht="24.75" customHeight="1" x14ac:dyDescent="0.2">
      <c r="B6" s="23" t="s">
        <v>245</v>
      </c>
      <c r="C6" s="242" t="s">
        <v>265</v>
      </c>
      <c r="D6" s="22">
        <f>'Course Breakdwn'!$O$8</f>
        <v>50000</v>
      </c>
      <c r="E6" s="22">
        <f>'Course Breakdwn'!$R$8</f>
        <v>55000</v>
      </c>
      <c r="F6" s="8"/>
    </row>
    <row r="7" spans="2:7" ht="24.95" customHeight="1" x14ac:dyDescent="0.2">
      <c r="B7" s="23" t="s">
        <v>76</v>
      </c>
      <c r="C7" s="242" t="s">
        <v>56</v>
      </c>
      <c r="D7" s="22">
        <f>'Course Breakdwn'!O36</f>
        <v>36000</v>
      </c>
      <c r="E7" s="22">
        <f>'Course Breakdwn'!R36</f>
        <v>24000</v>
      </c>
    </row>
    <row r="8" spans="2:7" ht="24.95" customHeight="1" x14ac:dyDescent="0.2">
      <c r="B8" s="82" t="s">
        <v>292</v>
      </c>
      <c r="C8" s="242" t="s">
        <v>266</v>
      </c>
      <c r="D8" s="22">
        <f>'Course Breakdwn'!O79</f>
        <v>30000</v>
      </c>
      <c r="E8" s="22">
        <f>'Course Breakdwn'!R79</f>
        <v>30000</v>
      </c>
    </row>
    <row r="9" spans="2:7" ht="24.75" customHeight="1" x14ac:dyDescent="0.2">
      <c r="B9" s="238" t="s">
        <v>60</v>
      </c>
      <c r="C9" s="82"/>
      <c r="D9" s="83"/>
      <c r="E9" s="83"/>
    </row>
    <row r="10" spans="2:7" ht="24.75" customHeight="1" x14ac:dyDescent="0.2">
      <c r="B10" s="82" t="s">
        <v>260</v>
      </c>
      <c r="C10" s="242" t="s">
        <v>290</v>
      </c>
      <c r="D10" s="83">
        <f>'Course Breakdwn'!O39</f>
        <v>320000</v>
      </c>
      <c r="E10" s="83">
        <f>'Course Breakdwn'!R39</f>
        <v>350400</v>
      </c>
      <c r="G10" s="81"/>
    </row>
    <row r="11" spans="2:7" ht="35.25" customHeight="1" x14ac:dyDescent="0.2">
      <c r="B11" s="82" t="s">
        <v>252</v>
      </c>
      <c r="C11" s="261" t="s">
        <v>271</v>
      </c>
      <c r="D11" s="83">
        <f>SUM('Course Breakdwn'!$O$40:$O$50)</f>
        <v>980000</v>
      </c>
      <c r="E11" s="83">
        <f>SUM('Course Breakdwn'!$R$40:$R$50)</f>
        <v>340000</v>
      </c>
      <c r="G11" s="81"/>
    </row>
    <row r="12" spans="2:7" ht="24.75" customHeight="1" x14ac:dyDescent="0.2">
      <c r="B12" s="82" t="s">
        <v>246</v>
      </c>
      <c r="C12" s="243" t="s">
        <v>291</v>
      </c>
      <c r="D12" s="83">
        <f>SUM('Course Breakdwn'!$O$52:$O$76)</f>
        <v>1575000</v>
      </c>
      <c r="E12" s="83">
        <f>SUM('Course Breakdwn'!$R$52:$R$76)</f>
        <v>730000</v>
      </c>
      <c r="G12" s="81"/>
    </row>
    <row r="13" spans="2:7" ht="24.95" customHeight="1" x14ac:dyDescent="0.2">
      <c r="B13" s="82" t="s">
        <v>247</v>
      </c>
      <c r="C13" s="242" t="s">
        <v>269</v>
      </c>
      <c r="D13" s="83">
        <f>'Annex 6 2016 RB XB'!E54+'Annex 6 2016 RB XB'!E10+'Annex 6 2016 RB XB'!E28+'Annex 6 2016 RB XB'!E36+'Annex 6 2016 RB XB'!F37</f>
        <v>550000</v>
      </c>
      <c r="E13" s="83">
        <f>'Annex 7 2017 RB XB'!E54</f>
        <v>150000</v>
      </c>
      <c r="G13" s="81"/>
    </row>
    <row r="14" spans="2:7" ht="24.95" customHeight="1" x14ac:dyDescent="0.2">
      <c r="B14" s="82" t="s">
        <v>253</v>
      </c>
      <c r="C14" s="242" t="s">
        <v>56</v>
      </c>
      <c r="D14" s="83">
        <f>'Course Breakdwn'!O25</f>
        <v>15000</v>
      </c>
      <c r="E14" s="83">
        <f>'Course Breakdwn'!R25</f>
        <v>15000</v>
      </c>
      <c r="G14" s="81"/>
    </row>
    <row r="15" spans="2:7" ht="24.95" customHeight="1" x14ac:dyDescent="0.2">
      <c r="B15" s="82" t="s">
        <v>254</v>
      </c>
      <c r="C15" s="242" t="s">
        <v>267</v>
      </c>
      <c r="D15" s="83">
        <f>'Course Breakdwn'!O83</f>
        <v>5000</v>
      </c>
      <c r="E15" s="83">
        <f>'Course Breakdwn'!R83</f>
        <v>5000</v>
      </c>
      <c r="G15" s="81"/>
    </row>
    <row r="16" spans="2:7" ht="24.95" customHeight="1" x14ac:dyDescent="0.2">
      <c r="B16" s="82" t="s">
        <v>259</v>
      </c>
      <c r="C16" s="242" t="s">
        <v>56</v>
      </c>
      <c r="D16" s="83">
        <f>'Annex 6 2016 RB XB'!F57</f>
        <v>35000</v>
      </c>
      <c r="E16" s="83">
        <f>'Annex 7 2017 RB XB'!F57</f>
        <v>35000</v>
      </c>
      <c r="G16" s="81"/>
    </row>
    <row r="17" spans="2:5" ht="24.95" customHeight="1" x14ac:dyDescent="0.2">
      <c r="B17" s="238" t="s">
        <v>59</v>
      </c>
      <c r="C17" s="82"/>
      <c r="D17" s="83"/>
      <c r="E17" s="83"/>
    </row>
    <row r="18" spans="2:5" ht="24.95" customHeight="1" x14ac:dyDescent="0.2">
      <c r="B18" s="82" t="s">
        <v>248</v>
      </c>
      <c r="C18" s="242" t="s">
        <v>56</v>
      </c>
      <c r="D18" s="83">
        <f>'Course Breakdwn'!O28+'Course Breakdwn'!O22</f>
        <v>50000</v>
      </c>
      <c r="E18" s="83">
        <f>'Course Breakdwn'!R28+'Course Breakdwn'!R22</f>
        <v>50000</v>
      </c>
    </row>
    <row r="19" spans="2:5" ht="24.95" customHeight="1" x14ac:dyDescent="0.2">
      <c r="B19" s="84" t="s">
        <v>58</v>
      </c>
      <c r="C19" s="242" t="s">
        <v>56</v>
      </c>
      <c r="D19" s="83">
        <f>'Course Breakdwn'!O31+'Course Breakdwn'!O18+'Course Breakdwn'!O19</f>
        <v>140000</v>
      </c>
      <c r="E19" s="83">
        <f>'Course Breakdwn'!R31+'Course Breakdwn'!R18+'Course Breakdwn'!R19</f>
        <v>105000</v>
      </c>
    </row>
    <row r="20" spans="2:5" ht="24.95" customHeight="1" x14ac:dyDescent="0.2">
      <c r="B20" s="85" t="s">
        <v>77</v>
      </c>
      <c r="C20" s="86"/>
      <c r="D20" s="87">
        <f>SUM(D5:D19)</f>
        <v>3786000</v>
      </c>
      <c r="E20" s="87">
        <f>SUM(E5:E19)</f>
        <v>1889400</v>
      </c>
    </row>
    <row r="21" spans="2:5" ht="24.95" customHeight="1" x14ac:dyDescent="0.2">
      <c r="B21" s="239" t="s">
        <v>78</v>
      </c>
      <c r="C21" s="23"/>
      <c r="D21" s="22"/>
      <c r="E21" s="22"/>
    </row>
    <row r="22" spans="2:5" ht="31.5" customHeight="1" x14ac:dyDescent="0.2">
      <c r="B22" s="88" t="s">
        <v>255</v>
      </c>
      <c r="C22" s="242" t="s">
        <v>270</v>
      </c>
      <c r="D22" s="22">
        <f>'Annex 6 2016 RB XB'!$E$47+'Annex 6 2016 RB XB'!$E$48</f>
        <v>150000</v>
      </c>
      <c r="E22" s="22">
        <f>'Annex 7 2017 RB XB'!E47+'Annex 7 2017 RB XB'!E48</f>
        <v>100000</v>
      </c>
    </row>
    <row r="23" spans="2:5" ht="24.95" customHeight="1" x14ac:dyDescent="0.2">
      <c r="B23" s="24" t="s">
        <v>57</v>
      </c>
      <c r="C23" s="242" t="s">
        <v>270</v>
      </c>
      <c r="D23" s="22">
        <f>SUM('Annex 6 2016 RB XB'!E15,'Annex 6 2016 RB XB'!E16,'Annex 6 2016 RB XB'!E20,'Annex 6 2016 RB XB'!E22,'Annex 6 2016 RB XB'!E23,'Annex 6 2016 RB XB'!E24,'Annex 6 2016 RB XB'!E25,'Annex 6 2016 RB XB'!E26,'Annex 6 2016 RB XB'!E27,'Annex 6 2016 RB XB'!E35,'Annex 6 2016 RB XB'!E40,'Annex 6 2016 RB XB'!E41,'Annex 6 2016 RB XB'!E42,'Annex 6 2016 RB XB'!E44,'Annex 6 2016 RB XB'!E46,'Annex 6 2016 RB XB'!E51,'Annex 6 2016 RB XB'!E53,'Annex 6 2016 RB XB'!E56,'Annex 6 2016 RB XB'!E58)</f>
        <v>1161100</v>
      </c>
      <c r="E23" s="22">
        <f>SUM('Annex 7 2017 RB XB'!E15,'Annex 7 2017 RB XB'!E16,'Annex 7 2017 RB XB'!E20,'Annex 7 2017 RB XB'!E22,'Annex 7 2017 RB XB'!E23,'Annex 7 2017 RB XB'!E24,'Annex 7 2017 RB XB'!E25,'Annex 7 2017 RB XB'!E26,'Annex 7 2017 RB XB'!E27,'Annex 7 2017 RB XB'!E35,'Annex 7 2017 RB XB'!E41,'Annex 7 2017 RB XB'!E42,'Annex 7 2017 RB XB'!E44,'Annex 7 2017 RB XB'!E46,'Annex 7 2017 RB XB'!E51,'Annex 7 2017 RB XB'!E53,'Annex 7 2017 RB XB'!E56,'Annex 7 2017 RB XB'!E58)</f>
        <v>1270783.6640516843</v>
      </c>
    </row>
    <row r="24" spans="2:5" ht="24.95" customHeight="1" x14ac:dyDescent="0.2">
      <c r="B24" s="240" t="s">
        <v>251</v>
      </c>
      <c r="C24" s="242" t="s">
        <v>270</v>
      </c>
      <c r="D24" s="22">
        <f>'Course Breakdwn'!O6+'Course Breakdwn'!O7+'Course Breakdwn'!O11+'Course Breakdwn'!O12+'Course Breakdwn'!O13</f>
        <v>164000</v>
      </c>
      <c r="E24" s="22">
        <f>'Course Breakdwn'!R6+'Course Breakdwn'!R7+'Course Breakdwn'!R11+'Course Breakdwn'!R12+'Course Breakdwn'!R13</f>
        <v>164000</v>
      </c>
    </row>
    <row r="25" spans="2:5" ht="24.95" customHeight="1" x14ac:dyDescent="0.2">
      <c r="B25" s="85" t="s">
        <v>77</v>
      </c>
      <c r="C25" s="86"/>
      <c r="D25" s="87">
        <f>SUM(D22:D24)</f>
        <v>1475100</v>
      </c>
      <c r="E25" s="87">
        <f>SUM(E22:E24)</f>
        <v>1534783.6640516843</v>
      </c>
    </row>
    <row r="26" spans="2:5" ht="24.95" customHeight="1" x14ac:dyDescent="0.2">
      <c r="B26" s="372"/>
      <c r="C26" s="373"/>
      <c r="D26" s="373"/>
      <c r="E26" s="374"/>
    </row>
    <row r="27" spans="2:5" ht="24.95" customHeight="1" x14ac:dyDescent="0.2">
      <c r="B27" s="370" t="s">
        <v>55</v>
      </c>
      <c r="C27" s="371"/>
      <c r="D27" s="241">
        <f>D20+D25</f>
        <v>5261100</v>
      </c>
      <c r="E27" s="241">
        <f>E20+E25</f>
        <v>3424183.6640516846</v>
      </c>
    </row>
    <row r="28" spans="2:5" ht="16.5" customHeight="1" x14ac:dyDescent="0.2">
      <c r="B28" s="21"/>
      <c r="D28" s="81"/>
    </row>
    <row r="29" spans="2:5" ht="16.5" customHeight="1" x14ac:dyDescent="0.2">
      <c r="D29" s="81"/>
      <c r="E29" s="81"/>
    </row>
    <row r="30" spans="2:5" ht="19.5" customHeight="1" x14ac:dyDescent="0.2">
      <c r="D30" s="81"/>
      <c r="E30" s="81"/>
    </row>
    <row r="32" spans="2:5" x14ac:dyDescent="0.2">
      <c r="D32" s="81">
        <f>SUM('Annex 6 2016 RB XB'!E59:F59)</f>
        <v>5261100</v>
      </c>
      <c r="E32" s="81">
        <f>SUM('Annex 7 2017 RB XB'!E59:F59)</f>
        <v>3424183.6640516846</v>
      </c>
    </row>
    <row r="34" spans="4:5" x14ac:dyDescent="0.2">
      <c r="D34" s="81">
        <f>D27-D32</f>
        <v>0</v>
      </c>
      <c r="E34" s="81">
        <f>E27-E32</f>
        <v>0</v>
      </c>
    </row>
  </sheetData>
  <mergeCells count="4">
    <mergeCell ref="B1:E1"/>
    <mergeCell ref="B2:E2"/>
    <mergeCell ref="B27:C27"/>
    <mergeCell ref="B26:E26"/>
  </mergeCells>
  <printOptions horizontalCentered="1" verticalCentered="1"/>
  <pageMargins left="0.59055118110236227" right="0.59055118110236227" top="0.59055118110236227" bottom="0.59055118110236227" header="0.31496062992125984" footer="0.31496062992125984"/>
  <pageSetup paperSize="9" scale="72"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4"/>
  <sheetViews>
    <sheetView view="pageBreakPreview" topLeftCell="A3" zoomScale="90" zoomScaleNormal="100" zoomScaleSheetLayoutView="90" workbookViewId="0">
      <selection activeCell="F54" sqref="F54"/>
    </sheetView>
  </sheetViews>
  <sheetFormatPr defaultColWidth="11.42578125" defaultRowHeight="12.75" x14ac:dyDescent="0.2"/>
  <cols>
    <col min="1" max="1" width="7.5703125" customWidth="1"/>
    <col min="2" max="2" width="34.7109375" customWidth="1"/>
    <col min="3" max="3" width="14.5703125" customWidth="1"/>
    <col min="4" max="4" width="17.5703125" bestFit="1" customWidth="1"/>
    <col min="5" max="5" width="22.7109375" customWidth="1"/>
    <col min="6" max="6" width="19.7109375" bestFit="1" customWidth="1"/>
  </cols>
  <sheetData>
    <row r="1" spans="1:10" x14ac:dyDescent="0.2">
      <c r="F1" s="29"/>
    </row>
    <row r="2" spans="1:10" ht="22.5" x14ac:dyDescent="0.3">
      <c r="A2" s="375" t="s">
        <v>107</v>
      </c>
      <c r="B2" s="375"/>
      <c r="C2" s="375"/>
      <c r="D2" s="375"/>
      <c r="E2" s="375"/>
      <c r="F2" s="375"/>
    </row>
    <row r="3" spans="1:10" ht="13.5" thickBot="1" x14ac:dyDescent="0.25">
      <c r="C3" s="30"/>
      <c r="D3" s="30"/>
      <c r="E3" s="30"/>
      <c r="F3" s="30"/>
    </row>
    <row r="4" spans="1:10" ht="14.25" x14ac:dyDescent="0.2">
      <c r="A4" s="379" t="s">
        <v>52</v>
      </c>
      <c r="B4" s="376" t="s">
        <v>0</v>
      </c>
      <c r="C4" s="33">
        <v>2016</v>
      </c>
      <c r="D4" s="104">
        <v>2016</v>
      </c>
      <c r="E4" s="104">
        <v>2016</v>
      </c>
      <c r="F4" s="104">
        <v>2016</v>
      </c>
    </row>
    <row r="5" spans="1:10" ht="14.25" x14ac:dyDescent="0.2">
      <c r="A5" s="380"/>
      <c r="B5" s="377"/>
      <c r="C5" s="34" t="s">
        <v>50</v>
      </c>
      <c r="D5" s="37" t="s">
        <v>63</v>
      </c>
      <c r="E5" s="37" t="s">
        <v>64</v>
      </c>
      <c r="F5" s="37" t="s">
        <v>64</v>
      </c>
    </row>
    <row r="6" spans="1:10" ht="13.5" thickBot="1" x14ac:dyDescent="0.25">
      <c r="A6" s="381"/>
      <c r="B6" s="378"/>
      <c r="C6" s="39" t="s">
        <v>65</v>
      </c>
      <c r="D6" s="39" t="s">
        <v>99</v>
      </c>
      <c r="E6" s="39" t="s">
        <v>100</v>
      </c>
      <c r="F6" s="39" t="s">
        <v>101</v>
      </c>
    </row>
    <row r="7" spans="1:10" x14ac:dyDescent="0.2">
      <c r="A7" s="52">
        <v>1100</v>
      </c>
      <c r="B7" s="53" t="s">
        <v>5</v>
      </c>
      <c r="C7" s="157">
        <f>+F7+E7+D7</f>
        <v>728900</v>
      </c>
      <c r="D7" s="134">
        <f>('Annex 3 UN Grant'!E9/2)-D14-D18-D8</f>
        <v>728900</v>
      </c>
      <c r="E7" s="125"/>
      <c r="F7" s="215"/>
      <c r="G7" s="148" t="s">
        <v>112</v>
      </c>
      <c r="J7" s="51"/>
    </row>
    <row r="8" spans="1:10" x14ac:dyDescent="0.2">
      <c r="A8" s="54">
        <v>1102</v>
      </c>
      <c r="B8" s="55" t="s">
        <v>71</v>
      </c>
      <c r="C8" s="158">
        <f>+F8+E8+D8</f>
        <v>52000</v>
      </c>
      <c r="D8" s="135">
        <f>52000</f>
        <v>52000</v>
      </c>
      <c r="E8" s="126"/>
      <c r="F8" s="216"/>
      <c r="G8" s="148"/>
      <c r="J8" s="51"/>
    </row>
    <row r="9" spans="1:10" x14ac:dyDescent="0.2">
      <c r="A9" s="54">
        <v>1112</v>
      </c>
      <c r="B9" s="55" t="s">
        <v>6</v>
      </c>
      <c r="C9" s="158">
        <f t="shared" ref="C9:C58" si="0">+F9+E9+D9</f>
        <v>40000</v>
      </c>
      <c r="D9" s="135">
        <f>40000</f>
        <v>40000</v>
      </c>
      <c r="E9" s="126"/>
      <c r="F9" s="216"/>
      <c r="G9" s="148" t="s">
        <v>138</v>
      </c>
      <c r="H9" s="51"/>
    </row>
    <row r="10" spans="1:10" x14ac:dyDescent="0.2">
      <c r="A10" s="54">
        <v>1113</v>
      </c>
      <c r="B10" s="55" t="s">
        <v>17</v>
      </c>
      <c r="C10" s="158">
        <f t="shared" si="0"/>
        <v>0</v>
      </c>
      <c r="D10" s="135"/>
      <c r="E10" s="126"/>
      <c r="F10" s="216"/>
      <c r="G10" s="149"/>
    </row>
    <row r="11" spans="1:10" x14ac:dyDescent="0.2">
      <c r="A11" s="54">
        <v>1115</v>
      </c>
      <c r="B11" s="55" t="s">
        <v>37</v>
      </c>
      <c r="C11" s="158">
        <f t="shared" si="0"/>
        <v>50000</v>
      </c>
      <c r="D11" s="135"/>
      <c r="E11" s="126"/>
      <c r="F11" s="216">
        <f>'Course Breakdwn'!O8</f>
        <v>50000</v>
      </c>
      <c r="G11" s="149"/>
    </row>
    <row r="12" spans="1:10" x14ac:dyDescent="0.2">
      <c r="A12" s="54">
        <v>1116</v>
      </c>
      <c r="B12" s="55" t="s">
        <v>38</v>
      </c>
      <c r="C12" s="158">
        <f t="shared" si="0"/>
        <v>0</v>
      </c>
      <c r="D12" s="135"/>
      <c r="E12" s="126"/>
      <c r="F12" s="216"/>
      <c r="G12" s="149"/>
    </row>
    <row r="13" spans="1:10" x14ac:dyDescent="0.2">
      <c r="A13" s="54">
        <v>1117</v>
      </c>
      <c r="B13" s="55" t="s">
        <v>130</v>
      </c>
      <c r="C13" s="158">
        <f t="shared" si="0"/>
        <v>15000</v>
      </c>
      <c r="D13" s="135"/>
      <c r="E13" s="126">
        <f>15000</f>
        <v>15000</v>
      </c>
      <c r="F13" s="216"/>
      <c r="G13" s="149" t="s">
        <v>131</v>
      </c>
      <c r="I13" s="51"/>
    </row>
    <row r="14" spans="1:10" x14ac:dyDescent="0.2">
      <c r="A14" s="54">
        <v>1300</v>
      </c>
      <c r="B14" s="55" t="s">
        <v>39</v>
      </c>
      <c r="C14" s="158">
        <f t="shared" si="0"/>
        <v>114100</v>
      </c>
      <c r="D14" s="135">
        <f>16300*7</f>
        <v>114100</v>
      </c>
      <c r="E14" s="126"/>
      <c r="F14" s="216"/>
      <c r="G14" s="148" t="s">
        <v>144</v>
      </c>
      <c r="I14" s="51"/>
      <c r="J14" s="51"/>
    </row>
    <row r="15" spans="1:10" x14ac:dyDescent="0.2">
      <c r="A15" s="54">
        <v>1301</v>
      </c>
      <c r="B15" s="55" t="s">
        <v>7</v>
      </c>
      <c r="C15" s="158">
        <f t="shared" si="0"/>
        <v>950000</v>
      </c>
      <c r="D15" s="135">
        <f>100000</f>
        <v>100000</v>
      </c>
      <c r="E15" s="126">
        <f>950000-D15</f>
        <v>850000</v>
      </c>
      <c r="F15" s="216"/>
      <c r="G15" s="148" t="s">
        <v>129</v>
      </c>
      <c r="H15" s="122"/>
      <c r="I15" s="51"/>
      <c r="J15" s="51"/>
    </row>
    <row r="16" spans="1:10" x14ac:dyDescent="0.2">
      <c r="A16" s="54">
        <v>1306</v>
      </c>
      <c r="B16" s="55" t="s">
        <v>32</v>
      </c>
      <c r="C16" s="158">
        <f t="shared" si="0"/>
        <v>10000</v>
      </c>
      <c r="D16" s="142"/>
      <c r="E16" s="144">
        <f>10000</f>
        <v>10000</v>
      </c>
      <c r="F16" s="216"/>
      <c r="G16" s="148" t="s">
        <v>111</v>
      </c>
      <c r="H16" s="122"/>
      <c r="I16" s="51"/>
      <c r="J16" s="51"/>
    </row>
    <row r="17" spans="1:12" x14ac:dyDescent="0.2">
      <c r="A17" s="54">
        <v>1307</v>
      </c>
      <c r="B17" s="55" t="s">
        <v>12</v>
      </c>
      <c r="C17" s="158">
        <f t="shared" si="0"/>
        <v>0</v>
      </c>
      <c r="D17" s="142"/>
      <c r="E17" s="144"/>
      <c r="F17" s="217"/>
      <c r="G17" s="148"/>
      <c r="H17" s="123"/>
      <c r="I17" s="51"/>
      <c r="J17" s="51"/>
    </row>
    <row r="18" spans="1:12" x14ac:dyDescent="0.2">
      <c r="A18" s="54">
        <v>1308</v>
      </c>
      <c r="B18" s="55" t="s">
        <v>13</v>
      </c>
      <c r="C18" s="158">
        <f t="shared" si="0"/>
        <v>10000</v>
      </c>
      <c r="D18" s="142">
        <f>10000</f>
        <v>10000</v>
      </c>
      <c r="E18" s="144"/>
      <c r="F18" s="216"/>
      <c r="G18" s="148" t="s">
        <v>148</v>
      </c>
      <c r="H18" s="122"/>
      <c r="J18" s="51"/>
      <c r="K18" s="91">
        <f>SUM(C$9,C$10,C$28,C$30,C$36,C37,C$38,C$39,$C$57)</f>
        <v>3256000</v>
      </c>
      <c r="L18" t="s">
        <v>83</v>
      </c>
    </row>
    <row r="19" spans="1:12" x14ac:dyDescent="0.2">
      <c r="A19" s="54">
        <v>1360</v>
      </c>
      <c r="B19" s="55" t="s">
        <v>40</v>
      </c>
      <c r="C19" s="158">
        <f t="shared" si="0"/>
        <v>0</v>
      </c>
      <c r="D19" s="142"/>
      <c r="E19" s="144"/>
      <c r="F19" s="216"/>
      <c r="G19" s="148" t="s">
        <v>147</v>
      </c>
      <c r="H19" s="123"/>
      <c r="K19" s="92">
        <f>SUM(C$11,$C$13,C$34,C$55)-'Course Breakdwn'!$O$31</f>
        <v>145000</v>
      </c>
      <c r="L19" s="105" t="s">
        <v>256</v>
      </c>
    </row>
    <row r="20" spans="1:12" x14ac:dyDescent="0.2">
      <c r="A20" s="54">
        <v>1361</v>
      </c>
      <c r="B20" s="55" t="s">
        <v>41</v>
      </c>
      <c r="C20" s="158">
        <f t="shared" si="0"/>
        <v>0</v>
      </c>
      <c r="D20" s="142"/>
      <c r="E20" s="144"/>
      <c r="F20" s="217"/>
      <c r="G20" s="148"/>
      <c r="H20" s="124"/>
      <c r="J20" s="51"/>
      <c r="K20" s="90">
        <f>SUM(C$49,C$50)</f>
        <v>50000</v>
      </c>
      <c r="L20" t="s">
        <v>85</v>
      </c>
    </row>
    <row r="21" spans="1:12" x14ac:dyDescent="0.2">
      <c r="A21" s="54">
        <v>1363</v>
      </c>
      <c r="B21" s="55" t="s">
        <v>14</v>
      </c>
      <c r="C21" s="158">
        <f t="shared" si="0"/>
        <v>0</v>
      </c>
      <c r="D21" s="142"/>
      <c r="E21" s="144"/>
      <c r="F21" s="217"/>
      <c r="G21" s="148"/>
      <c r="H21" s="51"/>
      <c r="J21" s="51"/>
      <c r="K21" s="93">
        <f>SUM(C$7,C$8,C$14,C$15,C$16,C$18,C$20,$C$21)</f>
        <v>1865000</v>
      </c>
      <c r="L21" t="s">
        <v>86</v>
      </c>
    </row>
    <row r="22" spans="1:12" x14ac:dyDescent="0.2">
      <c r="A22" s="54">
        <v>1401</v>
      </c>
      <c r="B22" s="55" t="s">
        <v>20</v>
      </c>
      <c r="C22" s="158">
        <f t="shared" si="0"/>
        <v>19200</v>
      </c>
      <c r="D22" s="142"/>
      <c r="E22" s="144">
        <f>1600*12</f>
        <v>19200</v>
      </c>
      <c r="F22" s="216"/>
      <c r="G22" s="148" t="s">
        <v>133</v>
      </c>
      <c r="H22" s="51"/>
      <c r="K22" s="275">
        <f>($C$55-SUM('Course Breakdwn'!$O$18:$O$19)+C54)</f>
        <v>570000</v>
      </c>
      <c r="L22" t="s">
        <v>276</v>
      </c>
    </row>
    <row r="23" spans="1:12" x14ac:dyDescent="0.2">
      <c r="A23" s="54">
        <v>1402</v>
      </c>
      <c r="B23" s="55" t="s">
        <v>21</v>
      </c>
      <c r="C23" s="158">
        <f t="shared" si="0"/>
        <v>12000</v>
      </c>
      <c r="D23" s="142"/>
      <c r="E23" s="144">
        <f>1000*12</f>
        <v>12000</v>
      </c>
      <c r="F23" s="216"/>
      <c r="G23" s="148" t="s">
        <v>133</v>
      </c>
      <c r="H23" s="51"/>
      <c r="K23" s="251">
        <f>C59-SUM(K18:K22)</f>
        <v>675100</v>
      </c>
      <c r="L23" t="s">
        <v>87</v>
      </c>
    </row>
    <row r="24" spans="1:12" x14ac:dyDescent="0.2">
      <c r="A24" s="54">
        <v>1403</v>
      </c>
      <c r="B24" s="55" t="s">
        <v>22</v>
      </c>
      <c r="C24" s="158">
        <f t="shared" si="0"/>
        <v>30000</v>
      </c>
      <c r="D24" s="142"/>
      <c r="E24" s="144">
        <f>2500*12</f>
        <v>30000</v>
      </c>
      <c r="F24" s="216"/>
      <c r="G24" s="148" t="s">
        <v>133</v>
      </c>
    </row>
    <row r="25" spans="1:12" x14ac:dyDescent="0.2">
      <c r="A25" s="54">
        <v>1404</v>
      </c>
      <c r="B25" s="55" t="s">
        <v>23</v>
      </c>
      <c r="C25" s="158">
        <f t="shared" si="0"/>
        <v>30000</v>
      </c>
      <c r="D25" s="142"/>
      <c r="E25" s="144">
        <f>2500*12</f>
        <v>30000</v>
      </c>
      <c r="F25" s="216"/>
      <c r="G25" s="148" t="s">
        <v>134</v>
      </c>
      <c r="K25" s="51"/>
    </row>
    <row r="26" spans="1:12" x14ac:dyDescent="0.2">
      <c r="A26" s="54">
        <v>1405</v>
      </c>
      <c r="B26" s="55" t="s">
        <v>24</v>
      </c>
      <c r="C26" s="158">
        <f t="shared" si="0"/>
        <v>8400</v>
      </c>
      <c r="D26" s="142"/>
      <c r="E26" s="144">
        <f>700*12</f>
        <v>8400</v>
      </c>
      <c r="F26" s="216"/>
      <c r="G26" s="148" t="s">
        <v>135</v>
      </c>
      <c r="K26" s="51"/>
    </row>
    <row r="27" spans="1:12" x14ac:dyDescent="0.2">
      <c r="A27" s="54">
        <v>1501</v>
      </c>
      <c r="B27" s="55" t="s">
        <v>15</v>
      </c>
      <c r="C27" s="158">
        <f t="shared" si="0"/>
        <v>80000</v>
      </c>
      <c r="D27" s="142"/>
      <c r="E27" s="144">
        <f>50000+30000</f>
        <v>80000</v>
      </c>
      <c r="F27" s="216"/>
      <c r="G27" s="221" t="s">
        <v>141</v>
      </c>
      <c r="K27" s="51"/>
    </row>
    <row r="28" spans="1:12" x14ac:dyDescent="0.2">
      <c r="A28" s="54">
        <v>1600</v>
      </c>
      <c r="B28" s="55" t="s">
        <v>16</v>
      </c>
      <c r="C28" s="158">
        <f t="shared" si="0"/>
        <v>0</v>
      </c>
      <c r="D28" s="142"/>
      <c r="E28" s="144"/>
      <c r="F28" s="216"/>
      <c r="G28" s="149"/>
      <c r="H28" s="51"/>
    </row>
    <row r="29" spans="1:12" x14ac:dyDescent="0.2">
      <c r="A29" s="54">
        <v>1601</v>
      </c>
      <c r="B29" s="55" t="s">
        <v>109</v>
      </c>
      <c r="C29" s="158">
        <f t="shared" si="0"/>
        <v>224000</v>
      </c>
      <c r="D29" s="135">
        <f>60000</f>
        <v>60000</v>
      </c>
      <c r="E29" s="126">
        <f>'Course Breakdwn'!O6+'Course Breakdwn'!O7+'Course Breakdwn'!O11+'Course Breakdwn'!O12+'Course Breakdwn'!O13</f>
        <v>164000</v>
      </c>
      <c r="F29" s="216"/>
      <c r="G29" s="148" t="s">
        <v>143</v>
      </c>
      <c r="K29" s="51"/>
    </row>
    <row r="30" spans="1:12" x14ac:dyDescent="0.2">
      <c r="A30" s="54">
        <v>1602</v>
      </c>
      <c r="B30" s="55" t="s">
        <v>18</v>
      </c>
      <c r="C30" s="158">
        <f t="shared" si="0"/>
        <v>10000</v>
      </c>
      <c r="D30" s="135">
        <f>10000</f>
        <v>10000</v>
      </c>
      <c r="E30" s="126"/>
      <c r="F30" s="216"/>
      <c r="G30" s="148" t="s">
        <v>229</v>
      </c>
    </row>
    <row r="31" spans="1:12" x14ac:dyDescent="0.2">
      <c r="A31" s="54">
        <v>2001</v>
      </c>
      <c r="B31" s="55" t="s">
        <v>34</v>
      </c>
      <c r="C31" s="158">
        <f t="shared" si="0"/>
        <v>0</v>
      </c>
      <c r="D31" s="142"/>
      <c r="E31" s="144"/>
      <c r="F31" s="216"/>
      <c r="G31" s="148"/>
    </row>
    <row r="32" spans="1:12" x14ac:dyDescent="0.2">
      <c r="A32" s="54">
        <v>2020</v>
      </c>
      <c r="B32" s="55" t="s">
        <v>19</v>
      </c>
      <c r="C32" s="158">
        <f t="shared" si="0"/>
        <v>0</v>
      </c>
      <c r="D32" s="142"/>
      <c r="E32" s="144"/>
      <c r="F32" s="216"/>
      <c r="G32" s="148"/>
      <c r="H32" s="51"/>
    </row>
    <row r="33" spans="1:11" x14ac:dyDescent="0.2">
      <c r="A33" s="54">
        <v>2040</v>
      </c>
      <c r="B33" s="55" t="s">
        <v>43</v>
      </c>
      <c r="C33" s="158">
        <f t="shared" si="0"/>
        <v>0</v>
      </c>
      <c r="D33" s="142"/>
      <c r="E33" s="144"/>
      <c r="F33" s="216"/>
      <c r="G33" s="148"/>
    </row>
    <row r="34" spans="1:11" x14ac:dyDescent="0.2">
      <c r="A34" s="54">
        <v>3100</v>
      </c>
      <c r="B34" s="55" t="s">
        <v>146</v>
      </c>
      <c r="C34" s="158">
        <f t="shared" si="0"/>
        <v>30000</v>
      </c>
      <c r="D34" s="142"/>
      <c r="E34" s="144"/>
      <c r="F34" s="216">
        <f>'Course Breakdwn'!O79</f>
        <v>30000</v>
      </c>
      <c r="G34" s="149" t="s">
        <v>240</v>
      </c>
    </row>
    <row r="35" spans="1:11" x14ac:dyDescent="0.2">
      <c r="A35" s="54">
        <v>3200</v>
      </c>
      <c r="B35" s="55" t="s">
        <v>8</v>
      </c>
      <c r="C35" s="158">
        <f t="shared" si="0"/>
        <v>60000</v>
      </c>
      <c r="D35" s="142"/>
      <c r="E35" s="144">
        <f>60000</f>
        <v>60000</v>
      </c>
      <c r="F35" s="216"/>
      <c r="G35" s="148" t="s">
        <v>145</v>
      </c>
      <c r="J35" s="51"/>
    </row>
    <row r="36" spans="1:11" ht="26.25" customHeight="1" x14ac:dyDescent="0.2">
      <c r="A36" s="54">
        <v>3201</v>
      </c>
      <c r="B36" s="73" t="s">
        <v>228</v>
      </c>
      <c r="C36" s="158">
        <f t="shared" si="0"/>
        <v>2740000</v>
      </c>
      <c r="D36" s="142">
        <f>'Annex 3 UN Grant'!E13/2</f>
        <v>185000</v>
      </c>
      <c r="E36" s="144"/>
      <c r="F36" s="216">
        <f>SUM('Course Breakdwn'!O40:O76)</f>
        <v>2555000</v>
      </c>
      <c r="G36" s="148" t="s">
        <v>241</v>
      </c>
      <c r="H36" s="51"/>
    </row>
    <row r="37" spans="1:11" x14ac:dyDescent="0.2">
      <c r="A37" s="54">
        <v>3205</v>
      </c>
      <c r="B37" s="55" t="s">
        <v>30</v>
      </c>
      <c r="C37" s="158">
        <f t="shared" si="0"/>
        <v>70000</v>
      </c>
      <c r="D37" s="142"/>
      <c r="E37" s="144"/>
      <c r="F37" s="223">
        <f>70000</f>
        <v>70000</v>
      </c>
      <c r="G37" s="148" t="s">
        <v>264</v>
      </c>
      <c r="K37" s="51"/>
    </row>
    <row r="38" spans="1:11" ht="23.25" customHeight="1" x14ac:dyDescent="0.2">
      <c r="A38" s="54">
        <v>3206</v>
      </c>
      <c r="B38" s="73" t="s">
        <v>74</v>
      </c>
      <c r="C38" s="158">
        <f t="shared" si="0"/>
        <v>41000</v>
      </c>
      <c r="D38" s="142"/>
      <c r="E38" s="144">
        <f>'Course Breakdwn'!O36+'Course Breakdwn'!O83</f>
        <v>41000</v>
      </c>
      <c r="F38" s="216"/>
      <c r="G38" s="148" t="s">
        <v>226</v>
      </c>
      <c r="I38" s="51"/>
    </row>
    <row r="39" spans="1:11" x14ac:dyDescent="0.2">
      <c r="A39" s="54">
        <v>3211</v>
      </c>
      <c r="B39" s="55" t="s">
        <v>75</v>
      </c>
      <c r="C39" s="158">
        <f t="shared" si="0"/>
        <v>320000</v>
      </c>
      <c r="D39" s="142"/>
      <c r="E39" s="144"/>
      <c r="F39" s="216">
        <f>160000+160000</f>
        <v>320000</v>
      </c>
      <c r="G39" s="148" t="s">
        <v>154</v>
      </c>
      <c r="H39" s="51"/>
    </row>
    <row r="40" spans="1:11" x14ac:dyDescent="0.2">
      <c r="A40" s="54">
        <v>4001</v>
      </c>
      <c r="B40" s="55" t="s">
        <v>35</v>
      </c>
      <c r="C40" s="158">
        <f t="shared" si="0"/>
        <v>15000</v>
      </c>
      <c r="D40" s="142"/>
      <c r="E40" s="144">
        <f>15000</f>
        <v>15000</v>
      </c>
      <c r="F40" s="216"/>
      <c r="G40" s="148" t="s">
        <v>238</v>
      </c>
      <c r="K40" s="51"/>
    </row>
    <row r="41" spans="1:11" x14ac:dyDescent="0.2">
      <c r="A41" s="54">
        <v>4002</v>
      </c>
      <c r="B41" s="55" t="s">
        <v>49</v>
      </c>
      <c r="C41" s="158">
        <f t="shared" si="0"/>
        <v>5000</v>
      </c>
      <c r="D41" s="142"/>
      <c r="E41" s="144">
        <f>5000</f>
        <v>5000</v>
      </c>
      <c r="F41" s="216"/>
      <c r="G41" s="148" t="s">
        <v>236</v>
      </c>
      <c r="K41" s="51"/>
    </row>
    <row r="42" spans="1:11" x14ac:dyDescent="0.2">
      <c r="A42" s="54">
        <v>4003</v>
      </c>
      <c r="B42" s="55" t="s">
        <v>44</v>
      </c>
      <c r="C42" s="158">
        <f t="shared" si="0"/>
        <v>5000</v>
      </c>
      <c r="D42" s="142"/>
      <c r="E42" s="144">
        <f>5000</f>
        <v>5000</v>
      </c>
      <c r="F42" s="216"/>
      <c r="G42" s="148" t="s">
        <v>237</v>
      </c>
      <c r="K42" s="51"/>
    </row>
    <row r="43" spans="1:11" x14ac:dyDescent="0.2">
      <c r="A43" s="54">
        <v>4004</v>
      </c>
      <c r="B43" s="55" t="s">
        <v>27</v>
      </c>
      <c r="C43" s="158">
        <f t="shared" si="0"/>
        <v>0</v>
      </c>
      <c r="D43" s="142"/>
      <c r="E43" s="144"/>
      <c r="F43" s="216"/>
      <c r="G43" s="148"/>
      <c r="K43" s="51"/>
    </row>
    <row r="44" spans="1:11" x14ac:dyDescent="0.2">
      <c r="A44" s="54">
        <v>4030</v>
      </c>
      <c r="B44" s="55" t="s">
        <v>26</v>
      </c>
      <c r="C44" s="158">
        <f t="shared" si="0"/>
        <v>2000</v>
      </c>
      <c r="D44" s="142"/>
      <c r="E44" s="144">
        <f>2000</f>
        <v>2000</v>
      </c>
      <c r="F44" s="216"/>
      <c r="G44" s="148" t="s">
        <v>155</v>
      </c>
      <c r="K44" s="51"/>
    </row>
    <row r="45" spans="1:11" x14ac:dyDescent="0.2">
      <c r="A45" s="54">
        <v>4035</v>
      </c>
      <c r="B45" s="55" t="s">
        <v>45</v>
      </c>
      <c r="C45" s="158">
        <f t="shared" si="0"/>
        <v>0</v>
      </c>
      <c r="D45" s="142"/>
      <c r="E45" s="144"/>
      <c r="F45" s="216"/>
      <c r="G45" s="148"/>
      <c r="K45" s="51"/>
    </row>
    <row r="46" spans="1:11" x14ac:dyDescent="0.2">
      <c r="A46" s="54">
        <v>4100</v>
      </c>
      <c r="B46" s="55" t="s">
        <v>29</v>
      </c>
      <c r="C46" s="158">
        <f t="shared" si="0"/>
        <v>7500</v>
      </c>
      <c r="D46" s="142"/>
      <c r="E46" s="144">
        <f>2500*3</f>
        <v>7500</v>
      </c>
      <c r="F46" s="216"/>
      <c r="G46" s="148" t="s">
        <v>132</v>
      </c>
      <c r="K46" s="51"/>
    </row>
    <row r="47" spans="1:11" x14ac:dyDescent="0.2">
      <c r="A47" s="54">
        <v>4200</v>
      </c>
      <c r="B47" s="55" t="s">
        <v>31</v>
      </c>
      <c r="C47" s="158">
        <f t="shared" si="0"/>
        <v>50000</v>
      </c>
      <c r="D47" s="142"/>
      <c r="E47" s="144">
        <f>50000</f>
        <v>50000</v>
      </c>
      <c r="F47" s="216"/>
      <c r="G47" s="156" t="s">
        <v>244</v>
      </c>
      <c r="H47" s="222"/>
      <c r="I47" s="222"/>
      <c r="J47" s="222"/>
      <c r="K47" s="123"/>
    </row>
    <row r="48" spans="1:11" x14ac:dyDescent="0.2">
      <c r="A48" s="54">
        <v>4300</v>
      </c>
      <c r="B48" s="55" t="s">
        <v>9</v>
      </c>
      <c r="C48" s="158">
        <f t="shared" si="0"/>
        <v>100000</v>
      </c>
      <c r="D48" s="142"/>
      <c r="E48" s="144">
        <f>100000</f>
        <v>100000</v>
      </c>
      <c r="F48" s="216"/>
      <c r="G48" s="148" t="s">
        <v>136</v>
      </c>
      <c r="K48" s="51"/>
    </row>
    <row r="49" spans="1:11" x14ac:dyDescent="0.2">
      <c r="A49" s="54">
        <v>4400</v>
      </c>
      <c r="B49" s="55" t="s">
        <v>248</v>
      </c>
      <c r="C49" s="158">
        <f t="shared" si="0"/>
        <v>20000</v>
      </c>
      <c r="D49" s="142"/>
      <c r="E49" s="144">
        <f>'Course Breakdwn'!O28</f>
        <v>20000</v>
      </c>
      <c r="F49" s="216"/>
      <c r="G49" s="148" t="s">
        <v>225</v>
      </c>
      <c r="K49" s="51"/>
    </row>
    <row r="50" spans="1:11" x14ac:dyDescent="0.2">
      <c r="A50" s="54">
        <v>4410</v>
      </c>
      <c r="B50" s="55" t="s">
        <v>66</v>
      </c>
      <c r="C50" s="158">
        <f t="shared" si="0"/>
        <v>30000</v>
      </c>
      <c r="D50" s="142"/>
      <c r="E50" s="144">
        <f>'Course Breakdwn'!O22</f>
        <v>30000</v>
      </c>
      <c r="F50" s="216"/>
      <c r="G50" s="148" t="s">
        <v>234</v>
      </c>
      <c r="I50" s="51"/>
    </row>
    <row r="51" spans="1:11" x14ac:dyDescent="0.2">
      <c r="A51" s="54">
        <v>4500</v>
      </c>
      <c r="B51" s="55" t="s">
        <v>36</v>
      </c>
      <c r="C51" s="158">
        <f t="shared" si="0"/>
        <v>5000</v>
      </c>
      <c r="D51" s="142"/>
      <c r="E51" s="144">
        <f>5000</f>
        <v>5000</v>
      </c>
      <c r="F51" s="216"/>
      <c r="G51" s="148" t="s">
        <v>155</v>
      </c>
      <c r="K51" s="51"/>
    </row>
    <row r="52" spans="1:11" x14ac:dyDescent="0.2">
      <c r="A52" s="54">
        <v>4600</v>
      </c>
      <c r="B52" s="55" t="s">
        <v>11</v>
      </c>
      <c r="C52" s="158">
        <f t="shared" si="0"/>
        <v>0</v>
      </c>
      <c r="D52" s="142"/>
      <c r="E52" s="144"/>
      <c r="F52" s="217"/>
      <c r="G52" s="148"/>
      <c r="K52" s="51"/>
    </row>
    <row r="53" spans="1:11" x14ac:dyDescent="0.2">
      <c r="A53" s="54">
        <v>5010</v>
      </c>
      <c r="B53" s="55" t="s">
        <v>25</v>
      </c>
      <c r="C53" s="158">
        <f t="shared" si="0"/>
        <v>6000</v>
      </c>
      <c r="D53" s="142"/>
      <c r="E53" s="144">
        <f>6000</f>
        <v>6000</v>
      </c>
      <c r="F53" s="216"/>
      <c r="G53" s="148" t="s">
        <v>155</v>
      </c>
      <c r="K53" s="51"/>
    </row>
    <row r="54" spans="1:11" ht="24" x14ac:dyDescent="0.2">
      <c r="A54" s="54">
        <v>5040</v>
      </c>
      <c r="B54" s="73" t="s">
        <v>151</v>
      </c>
      <c r="C54" s="158">
        <f t="shared" si="0"/>
        <v>480000</v>
      </c>
      <c r="D54" s="142"/>
      <c r="E54" s="144">
        <f>480000</f>
        <v>480000</v>
      </c>
      <c r="F54" s="216"/>
      <c r="G54" s="155" t="s">
        <v>156</v>
      </c>
      <c r="K54" s="51"/>
    </row>
    <row r="55" spans="1:11" x14ac:dyDescent="0.2">
      <c r="A55" s="54">
        <v>5200</v>
      </c>
      <c r="B55" s="55" t="s">
        <v>46</v>
      </c>
      <c r="C55" s="158">
        <f t="shared" si="0"/>
        <v>140000</v>
      </c>
      <c r="D55" s="142"/>
      <c r="E55" s="144">
        <f>'Course Breakdwn'!O31+'Course Breakdwn'!O18+'Course Breakdwn'!O19</f>
        <v>140000</v>
      </c>
      <c r="F55" s="216"/>
      <c r="G55" s="148" t="s">
        <v>227</v>
      </c>
      <c r="K55" s="51"/>
    </row>
    <row r="56" spans="1:11" x14ac:dyDescent="0.2">
      <c r="A56" s="54">
        <v>5300</v>
      </c>
      <c r="B56" s="55" t="s">
        <v>28</v>
      </c>
      <c r="C56" s="158">
        <f t="shared" si="0"/>
        <v>5000</v>
      </c>
      <c r="D56" s="142"/>
      <c r="E56" s="144">
        <f>5000</f>
        <v>5000</v>
      </c>
      <c r="F56" s="216"/>
      <c r="G56" s="148" t="s">
        <v>139</v>
      </c>
      <c r="K56" s="51"/>
    </row>
    <row r="57" spans="1:11" x14ac:dyDescent="0.2">
      <c r="A57" s="220">
        <v>5350</v>
      </c>
      <c r="B57" s="59" t="s">
        <v>259</v>
      </c>
      <c r="C57" s="158">
        <f t="shared" si="0"/>
        <v>35000</v>
      </c>
      <c r="D57" s="213"/>
      <c r="E57" s="256"/>
      <c r="F57" s="257">
        <f>35000</f>
        <v>35000</v>
      </c>
      <c r="G57" s="148"/>
      <c r="K57" s="51"/>
    </row>
    <row r="58" spans="1:11" ht="13.5" thickBot="1" x14ac:dyDescent="0.25">
      <c r="A58" s="220">
        <v>5400</v>
      </c>
      <c r="B58" s="59" t="s">
        <v>47</v>
      </c>
      <c r="C58" s="158">
        <f t="shared" si="0"/>
        <v>11000</v>
      </c>
      <c r="D58" s="213"/>
      <c r="E58" s="214">
        <f>11000</f>
        <v>11000</v>
      </c>
      <c r="F58" s="218"/>
      <c r="G58" s="148" t="s">
        <v>140</v>
      </c>
      <c r="K58" s="51"/>
    </row>
    <row r="59" spans="1:11" ht="16.5" thickBot="1" x14ac:dyDescent="0.25">
      <c r="A59" s="382" t="s">
        <v>48</v>
      </c>
      <c r="B59" s="383"/>
      <c r="C59" s="147">
        <f>SUM(C7:C58)</f>
        <v>6561100</v>
      </c>
      <c r="D59" s="147">
        <f>SUM(D7:D58)</f>
        <v>1300000</v>
      </c>
      <c r="E59" s="147">
        <f>SUM(E7:E58)</f>
        <v>2201100</v>
      </c>
      <c r="F59" s="219">
        <f>SUM(F7:F58)</f>
        <v>3060000</v>
      </c>
    </row>
    <row r="61" spans="1:11" x14ac:dyDescent="0.2">
      <c r="E61" s="260"/>
      <c r="F61" s="51"/>
      <c r="G61" s="89"/>
      <c r="H61" s="89"/>
      <c r="I61" s="89"/>
      <c r="J61" s="89"/>
      <c r="K61" s="89"/>
    </row>
    <row r="62" spans="1:11" x14ac:dyDescent="0.2">
      <c r="F62" s="150">
        <f>E59+F59</f>
        <v>5261100</v>
      </c>
      <c r="G62" s="89"/>
      <c r="H62" s="89"/>
      <c r="I62" s="89"/>
      <c r="J62" s="89"/>
      <c r="K62" s="89"/>
    </row>
    <row r="63" spans="1:11" x14ac:dyDescent="0.2">
      <c r="I63" s="51"/>
    </row>
    <row r="64" spans="1:11" x14ac:dyDescent="0.2">
      <c r="F64" s="153"/>
    </row>
  </sheetData>
  <mergeCells count="4">
    <mergeCell ref="A2:F2"/>
    <mergeCell ref="B4:B6"/>
    <mergeCell ref="A4:A6"/>
    <mergeCell ref="A59:B59"/>
  </mergeCells>
  <printOptions horizontalCentered="1" verticalCentered="1"/>
  <pageMargins left="0.19685039370078741" right="0.27559055118110237" top="0.31496062992125984" bottom="0.23622047244094491" header="0.31496062992125984" footer="0.31496062992125984"/>
  <pageSetup scale="89" orientation="portrait" horizontalDpi="4294967293" verticalDpi="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L62"/>
  <sheetViews>
    <sheetView tabSelected="1" view="pageBreakPreview" zoomScaleNormal="100" zoomScaleSheetLayoutView="100" workbookViewId="0">
      <selection activeCell="B23" sqref="B23"/>
    </sheetView>
  </sheetViews>
  <sheetFormatPr defaultColWidth="11.42578125" defaultRowHeight="12.75" x14ac:dyDescent="0.2"/>
  <cols>
    <col min="1" max="1" width="7.5703125" customWidth="1"/>
    <col min="2" max="2" width="35.5703125" customWidth="1"/>
    <col min="3" max="3" width="14.28515625" customWidth="1"/>
    <col min="4" max="4" width="17.5703125" bestFit="1" customWidth="1"/>
    <col min="5" max="5" width="22.5703125" bestFit="1" customWidth="1"/>
    <col min="6" max="6" width="19.85546875" bestFit="1" customWidth="1"/>
    <col min="7" max="7" width="39.7109375" bestFit="1" customWidth="1"/>
    <col min="8" max="8" width="26.85546875" customWidth="1"/>
    <col min="10" max="10" width="20.42578125" bestFit="1" customWidth="1"/>
  </cols>
  <sheetData>
    <row r="2" spans="1:11" ht="22.5" x14ac:dyDescent="0.3">
      <c r="A2" s="375" t="s">
        <v>108</v>
      </c>
      <c r="B2" s="375"/>
      <c r="C2" s="375"/>
      <c r="D2" s="375"/>
      <c r="E2" s="375"/>
      <c r="F2" s="375"/>
    </row>
    <row r="3" spans="1:11" ht="13.5" thickBot="1" x14ac:dyDescent="0.25"/>
    <row r="4" spans="1:11" ht="14.25" x14ac:dyDescent="0.2">
      <c r="A4" s="31" t="s">
        <v>2</v>
      </c>
      <c r="B4" s="32" t="s">
        <v>0</v>
      </c>
      <c r="C4" s="32">
        <v>2017</v>
      </c>
      <c r="D4" s="32">
        <v>2017</v>
      </c>
      <c r="E4" s="32">
        <v>2017</v>
      </c>
      <c r="F4" s="32">
        <v>2017</v>
      </c>
    </row>
    <row r="5" spans="1:11" ht="14.25" x14ac:dyDescent="0.2">
      <c r="A5" s="35" t="s">
        <v>3</v>
      </c>
      <c r="B5" s="36"/>
      <c r="C5" s="34" t="s">
        <v>50</v>
      </c>
      <c r="D5" s="37" t="s">
        <v>63</v>
      </c>
      <c r="E5" s="37" t="s">
        <v>64</v>
      </c>
      <c r="F5" s="37" t="s">
        <v>64</v>
      </c>
    </row>
    <row r="6" spans="1:11" ht="13.5" thickBot="1" x14ac:dyDescent="0.25">
      <c r="A6" s="38"/>
      <c r="B6" s="36"/>
      <c r="C6" s="39" t="s">
        <v>65</v>
      </c>
      <c r="D6" s="39" t="s">
        <v>99</v>
      </c>
      <c r="E6" s="39" t="s">
        <v>100</v>
      </c>
      <c r="F6" s="39" t="s">
        <v>101</v>
      </c>
    </row>
    <row r="7" spans="1:11" ht="15" x14ac:dyDescent="0.2">
      <c r="A7" s="52">
        <v>1100</v>
      </c>
      <c r="B7" s="53" t="s">
        <v>5</v>
      </c>
      <c r="C7" s="157">
        <f>+D7+E7+F7</f>
        <v>770900</v>
      </c>
      <c r="D7" s="134">
        <f>('Annex 3 UN Grant'!E9/2)-D14-D18</f>
        <v>770900</v>
      </c>
      <c r="E7" s="125"/>
      <c r="F7" s="138"/>
      <c r="G7" s="148" t="s">
        <v>112</v>
      </c>
      <c r="K7" s="51"/>
    </row>
    <row r="8" spans="1:11" ht="15" x14ac:dyDescent="0.2">
      <c r="A8" s="54">
        <v>1102</v>
      </c>
      <c r="B8" s="55" t="s">
        <v>71</v>
      </c>
      <c r="C8" s="158">
        <f>+D8+E8+F8</f>
        <v>0</v>
      </c>
      <c r="D8" s="142"/>
      <c r="E8" s="144"/>
      <c r="F8" s="139"/>
      <c r="G8" s="148" t="s">
        <v>153</v>
      </c>
      <c r="K8" s="51"/>
    </row>
    <row r="9" spans="1:11" ht="15" x14ac:dyDescent="0.2">
      <c r="A9" s="54">
        <v>1112</v>
      </c>
      <c r="B9" s="55" t="s">
        <v>6</v>
      </c>
      <c r="C9" s="158">
        <f t="shared" ref="C9:C58" si="0">+D9+E9+F9</f>
        <v>40000</v>
      </c>
      <c r="D9" s="142">
        <f>40000</f>
        <v>40000</v>
      </c>
      <c r="E9" s="144"/>
      <c r="F9" s="139"/>
      <c r="G9" s="148" t="s">
        <v>138</v>
      </c>
      <c r="I9" s="51"/>
    </row>
    <row r="10" spans="1:11" ht="15" x14ac:dyDescent="0.2">
      <c r="A10" s="54">
        <v>1113</v>
      </c>
      <c r="B10" s="55" t="s">
        <v>17</v>
      </c>
      <c r="C10" s="158">
        <f t="shared" si="0"/>
        <v>0</v>
      </c>
      <c r="D10" s="142"/>
      <c r="E10" s="144"/>
      <c r="F10" s="139"/>
      <c r="G10" s="149"/>
      <c r="H10" s="51"/>
    </row>
    <row r="11" spans="1:11" x14ac:dyDescent="0.2">
      <c r="A11" s="54">
        <v>1115</v>
      </c>
      <c r="B11" s="55" t="s">
        <v>37</v>
      </c>
      <c r="C11" s="158">
        <f t="shared" si="0"/>
        <v>55000</v>
      </c>
      <c r="D11" s="142"/>
      <c r="E11" s="144"/>
      <c r="F11" s="216">
        <f>'Course Breakdwn'!R8</f>
        <v>55000</v>
      </c>
      <c r="G11" s="149"/>
      <c r="H11" s="51"/>
    </row>
    <row r="12" spans="1:11" ht="15" x14ac:dyDescent="0.2">
      <c r="A12" s="54">
        <v>1116</v>
      </c>
      <c r="B12" s="55" t="s">
        <v>38</v>
      </c>
      <c r="C12" s="158">
        <f t="shared" si="0"/>
        <v>0</v>
      </c>
      <c r="D12" s="142"/>
      <c r="E12" s="144"/>
      <c r="F12" s="139"/>
      <c r="G12" s="149"/>
      <c r="H12" s="51"/>
    </row>
    <row r="13" spans="1:11" ht="15" x14ac:dyDescent="0.2">
      <c r="A13" s="54">
        <v>1117</v>
      </c>
      <c r="B13" s="55" t="s">
        <v>130</v>
      </c>
      <c r="C13" s="158">
        <f t="shared" si="0"/>
        <v>15000</v>
      </c>
      <c r="D13" s="142"/>
      <c r="E13" s="144">
        <f>15000</f>
        <v>15000</v>
      </c>
      <c r="F13" s="139"/>
      <c r="G13" s="149" t="s">
        <v>131</v>
      </c>
      <c r="H13" s="51"/>
      <c r="I13" s="91">
        <f>SUM(C$9,C$10,C$28,C$30,C$36,$C$37,C$38,C$39,$C$57)</f>
        <v>1719400</v>
      </c>
      <c r="J13" t="s">
        <v>83</v>
      </c>
    </row>
    <row r="14" spans="1:11" ht="15" x14ac:dyDescent="0.2">
      <c r="A14" s="54">
        <v>1300</v>
      </c>
      <c r="B14" s="55" t="s">
        <v>39</v>
      </c>
      <c r="C14" s="158">
        <f t="shared" si="0"/>
        <v>114100</v>
      </c>
      <c r="D14" s="142">
        <f>16300*7</f>
        <v>114100</v>
      </c>
      <c r="E14" s="144"/>
      <c r="F14" s="139"/>
      <c r="G14" s="148" t="s">
        <v>144</v>
      </c>
      <c r="I14" s="92">
        <f>SUM(C$11,$C$13,C$34,C$55)-'Course Breakdwn'!R31</f>
        <v>135000</v>
      </c>
      <c r="J14" s="105" t="s">
        <v>256</v>
      </c>
      <c r="K14" s="51"/>
    </row>
    <row r="15" spans="1:11" x14ac:dyDescent="0.2">
      <c r="A15" s="54">
        <v>1301</v>
      </c>
      <c r="B15" s="55" t="s">
        <v>7</v>
      </c>
      <c r="C15" s="158">
        <f t="shared" si="0"/>
        <v>1100000</v>
      </c>
      <c r="D15" s="142">
        <f>100000</f>
        <v>100000</v>
      </c>
      <c r="E15" s="144">
        <f>1100000-D15</f>
        <v>1000000</v>
      </c>
      <c r="F15" s="140"/>
      <c r="G15" s="148" t="s">
        <v>129</v>
      </c>
      <c r="I15" s="90">
        <f>SUM(C$49,C$50)</f>
        <v>50000</v>
      </c>
      <c r="J15" t="s">
        <v>85</v>
      </c>
      <c r="K15" s="51"/>
    </row>
    <row r="16" spans="1:11" x14ac:dyDescent="0.2">
      <c r="A16" s="54">
        <v>1306</v>
      </c>
      <c r="B16" s="55" t="s">
        <v>32</v>
      </c>
      <c r="C16" s="158">
        <f t="shared" si="0"/>
        <v>10000</v>
      </c>
      <c r="D16" s="136"/>
      <c r="E16" s="127">
        <f>10000</f>
        <v>10000</v>
      </c>
      <c r="F16" s="140"/>
      <c r="G16" s="148" t="s">
        <v>111</v>
      </c>
      <c r="I16" s="93">
        <f>SUM(C$7,C$8,C$14,C$15,C$16,C$18,C$20,$C$21)</f>
        <v>2019183.6640516843</v>
      </c>
      <c r="J16" t="s">
        <v>86</v>
      </c>
      <c r="K16" s="51"/>
    </row>
    <row r="17" spans="1:12" x14ac:dyDescent="0.2">
      <c r="A17" s="54">
        <v>1307</v>
      </c>
      <c r="B17" s="55" t="s">
        <v>12</v>
      </c>
      <c r="C17" s="158">
        <f t="shared" si="0"/>
        <v>0</v>
      </c>
      <c r="D17" s="136"/>
      <c r="E17" s="127"/>
      <c r="F17" s="141"/>
      <c r="G17" s="148"/>
      <c r="I17" s="275">
        <f>($C$55-SUM('Course Breakdwn'!$R$18:$R$19)+$C$54)</f>
        <v>220000</v>
      </c>
      <c r="J17" t="s">
        <v>276</v>
      </c>
      <c r="K17" s="51"/>
    </row>
    <row r="18" spans="1:12" ht="15" x14ac:dyDescent="0.2">
      <c r="A18" s="54">
        <v>1308</v>
      </c>
      <c r="B18" s="55" t="s">
        <v>13</v>
      </c>
      <c r="C18" s="158">
        <f t="shared" si="0"/>
        <v>20000</v>
      </c>
      <c r="D18" s="143">
        <f>20000</f>
        <v>20000</v>
      </c>
      <c r="E18" s="145"/>
      <c r="F18" s="140"/>
      <c r="G18" s="148" t="s">
        <v>149</v>
      </c>
      <c r="I18" s="251">
        <f>$C$59-SUM(I13:I17)</f>
        <v>580600</v>
      </c>
      <c r="J18" t="s">
        <v>87</v>
      </c>
      <c r="K18" s="51"/>
    </row>
    <row r="19" spans="1:12" x14ac:dyDescent="0.2">
      <c r="A19" s="54">
        <v>1360</v>
      </c>
      <c r="B19" s="55" t="s">
        <v>40</v>
      </c>
      <c r="C19" s="158">
        <f t="shared" si="0"/>
        <v>0</v>
      </c>
      <c r="D19" s="136"/>
      <c r="E19" s="127"/>
      <c r="F19" s="141"/>
      <c r="G19" s="148"/>
      <c r="K19" s="51"/>
    </row>
    <row r="20" spans="1:12" x14ac:dyDescent="0.2">
      <c r="A20" s="54">
        <v>1361</v>
      </c>
      <c r="B20" s="55" t="s">
        <v>41</v>
      </c>
      <c r="C20" s="158">
        <f t="shared" si="0"/>
        <v>4183.6640516843563</v>
      </c>
      <c r="D20" s="136"/>
      <c r="E20" s="127">
        <f>1511*60/21.67</f>
        <v>4183.6640516843563</v>
      </c>
      <c r="F20" s="141"/>
      <c r="G20" s="148" t="s">
        <v>110</v>
      </c>
      <c r="H20" s="105"/>
      <c r="K20" s="51"/>
    </row>
    <row r="21" spans="1:12" x14ac:dyDescent="0.2">
      <c r="A21" s="54">
        <v>1363</v>
      </c>
      <c r="B21" s="55" t="s">
        <v>14</v>
      </c>
      <c r="C21" s="158">
        <f t="shared" si="0"/>
        <v>0</v>
      </c>
      <c r="D21" s="136"/>
      <c r="E21" s="127"/>
      <c r="F21" s="140"/>
      <c r="G21" s="148"/>
      <c r="K21" s="51"/>
    </row>
    <row r="22" spans="1:12" x14ac:dyDescent="0.2">
      <c r="A22" s="54">
        <v>1401</v>
      </c>
      <c r="B22" s="55" t="s">
        <v>20</v>
      </c>
      <c r="C22" s="158">
        <f t="shared" si="0"/>
        <v>19200</v>
      </c>
      <c r="D22" s="136"/>
      <c r="E22" s="127">
        <f>1600*12</f>
        <v>19200</v>
      </c>
      <c r="F22" s="140"/>
      <c r="G22" s="148" t="s">
        <v>133</v>
      </c>
      <c r="L22" s="51"/>
    </row>
    <row r="23" spans="1:12" x14ac:dyDescent="0.2">
      <c r="A23" s="54">
        <v>1402</v>
      </c>
      <c r="B23" s="55" t="s">
        <v>21</v>
      </c>
      <c r="C23" s="158">
        <f t="shared" si="0"/>
        <v>12000</v>
      </c>
      <c r="D23" s="136"/>
      <c r="E23" s="127">
        <f>1000*12</f>
        <v>12000</v>
      </c>
      <c r="F23" s="140"/>
      <c r="G23" s="148" t="s">
        <v>133</v>
      </c>
      <c r="L23" s="51"/>
    </row>
    <row r="24" spans="1:12" x14ac:dyDescent="0.2">
      <c r="A24" s="54">
        <v>1403</v>
      </c>
      <c r="B24" s="56" t="s">
        <v>22</v>
      </c>
      <c r="C24" s="158">
        <f t="shared" si="0"/>
        <v>30000</v>
      </c>
      <c r="D24" s="136"/>
      <c r="E24" s="127">
        <f>2500*12</f>
        <v>30000</v>
      </c>
      <c r="F24" s="140"/>
      <c r="G24" s="148" t="s">
        <v>133</v>
      </c>
      <c r="L24" s="51"/>
    </row>
    <row r="25" spans="1:12" x14ac:dyDescent="0.2">
      <c r="A25" s="54">
        <v>1404</v>
      </c>
      <c r="B25" s="55" t="s">
        <v>23</v>
      </c>
      <c r="C25" s="158">
        <f t="shared" si="0"/>
        <v>30000</v>
      </c>
      <c r="D25" s="136"/>
      <c r="E25" s="127">
        <f>2500*12</f>
        <v>30000</v>
      </c>
      <c r="F25" s="140"/>
      <c r="G25" s="148" t="s">
        <v>134</v>
      </c>
      <c r="L25" s="51"/>
    </row>
    <row r="26" spans="1:12" x14ac:dyDescent="0.2">
      <c r="A26" s="54">
        <v>1405</v>
      </c>
      <c r="B26" s="55" t="s">
        <v>24</v>
      </c>
      <c r="C26" s="158">
        <f t="shared" si="0"/>
        <v>8400</v>
      </c>
      <c r="D26" s="136"/>
      <c r="E26" s="127">
        <f>700*12</f>
        <v>8400</v>
      </c>
      <c r="F26" s="140"/>
      <c r="G26" s="148" t="s">
        <v>135</v>
      </c>
      <c r="L26" s="51"/>
    </row>
    <row r="27" spans="1:12" ht="15" x14ac:dyDescent="0.2">
      <c r="A27" s="54">
        <v>1501</v>
      </c>
      <c r="B27" s="55" t="s">
        <v>15</v>
      </c>
      <c r="C27" s="158">
        <f t="shared" si="0"/>
        <v>50000</v>
      </c>
      <c r="D27" s="136"/>
      <c r="E27" s="127">
        <f>50000</f>
        <v>50000</v>
      </c>
      <c r="F27" s="139"/>
      <c r="G27" s="149" t="s">
        <v>141</v>
      </c>
      <c r="L27" s="51"/>
    </row>
    <row r="28" spans="1:12" ht="15" x14ac:dyDescent="0.2">
      <c r="A28" s="54">
        <v>1600</v>
      </c>
      <c r="B28" s="55" t="s">
        <v>16</v>
      </c>
      <c r="C28" s="158">
        <f t="shared" si="0"/>
        <v>0</v>
      </c>
      <c r="D28" s="136"/>
      <c r="E28" s="127"/>
      <c r="F28" s="139"/>
      <c r="G28" s="149"/>
      <c r="H28" s="51"/>
    </row>
    <row r="29" spans="1:12" x14ac:dyDescent="0.2">
      <c r="A29" s="54">
        <v>1601</v>
      </c>
      <c r="B29" s="55" t="s">
        <v>109</v>
      </c>
      <c r="C29" s="158">
        <f t="shared" si="0"/>
        <v>224000</v>
      </c>
      <c r="D29" s="142">
        <f>60000</f>
        <v>60000</v>
      </c>
      <c r="E29" s="144">
        <f>'Course Breakdwn'!R6+'Course Breakdwn'!R7+'Course Breakdwn'!R11+'Course Breakdwn'!R12+'Course Breakdwn'!R13</f>
        <v>164000</v>
      </c>
      <c r="F29" s="140"/>
      <c r="G29" s="148" t="s">
        <v>142</v>
      </c>
      <c r="L29" s="51"/>
    </row>
    <row r="30" spans="1:12" x14ac:dyDescent="0.2">
      <c r="A30" s="54">
        <v>1602</v>
      </c>
      <c r="B30" s="55" t="s">
        <v>18</v>
      </c>
      <c r="C30" s="158">
        <f t="shared" si="0"/>
        <v>10000</v>
      </c>
      <c r="D30" s="142">
        <f>10000</f>
        <v>10000</v>
      </c>
      <c r="E30" s="144"/>
      <c r="F30" s="140"/>
      <c r="G30" s="148" t="s">
        <v>113</v>
      </c>
    </row>
    <row r="31" spans="1:12" x14ac:dyDescent="0.2">
      <c r="A31" s="54">
        <v>2001</v>
      </c>
      <c r="B31" s="55" t="s">
        <v>34</v>
      </c>
      <c r="C31" s="158">
        <f t="shared" si="0"/>
        <v>0</v>
      </c>
      <c r="D31" s="136"/>
      <c r="E31" s="127"/>
      <c r="F31" s="140"/>
      <c r="G31" s="148"/>
      <c r="I31" s="51"/>
    </row>
    <row r="32" spans="1:12" x14ac:dyDescent="0.2">
      <c r="A32" s="54">
        <v>2020</v>
      </c>
      <c r="B32" s="55" t="s">
        <v>19</v>
      </c>
      <c r="C32" s="158">
        <f t="shared" si="0"/>
        <v>0</v>
      </c>
      <c r="D32" s="136"/>
      <c r="E32" s="127"/>
      <c r="F32" s="140"/>
      <c r="G32" s="148"/>
      <c r="I32" s="51"/>
    </row>
    <row r="33" spans="1:12" x14ac:dyDescent="0.2">
      <c r="A33" s="54">
        <v>2040</v>
      </c>
      <c r="B33" s="55" t="s">
        <v>43</v>
      </c>
      <c r="C33" s="158">
        <f t="shared" si="0"/>
        <v>0</v>
      </c>
      <c r="D33" s="136"/>
      <c r="E33" s="127"/>
      <c r="F33" s="140"/>
      <c r="G33" s="148"/>
      <c r="I33" s="51"/>
    </row>
    <row r="34" spans="1:12" x14ac:dyDescent="0.2">
      <c r="A34" s="54">
        <v>3100</v>
      </c>
      <c r="B34" s="55" t="s">
        <v>67</v>
      </c>
      <c r="C34" s="158">
        <f t="shared" si="0"/>
        <v>30000</v>
      </c>
      <c r="D34" s="136"/>
      <c r="E34" s="127"/>
      <c r="F34" s="223">
        <f>'Course Breakdwn'!R79</f>
        <v>30000</v>
      </c>
      <c r="G34" s="149" t="s">
        <v>240</v>
      </c>
      <c r="H34" s="51"/>
      <c r="I34" s="51"/>
    </row>
    <row r="35" spans="1:12" x14ac:dyDescent="0.2">
      <c r="A35" s="54">
        <v>3200</v>
      </c>
      <c r="B35" s="55" t="s">
        <v>8</v>
      </c>
      <c r="C35" s="158">
        <f t="shared" si="0"/>
        <v>35000</v>
      </c>
      <c r="D35" s="136"/>
      <c r="E35" s="127">
        <f>35000</f>
        <v>35000</v>
      </c>
      <c r="F35" s="140"/>
      <c r="G35" s="156" t="s">
        <v>152</v>
      </c>
      <c r="L35" s="51"/>
    </row>
    <row r="36" spans="1:12" ht="25.5" customHeight="1" x14ac:dyDescent="0.2">
      <c r="A36" s="54">
        <v>3201</v>
      </c>
      <c r="B36" s="73" t="s">
        <v>73</v>
      </c>
      <c r="C36" s="158">
        <f t="shared" si="0"/>
        <v>1255000</v>
      </c>
      <c r="D36" s="136">
        <f>'Annex 3 UN Grant'!E13/2</f>
        <v>185000</v>
      </c>
      <c r="E36" s="127"/>
      <c r="F36" s="223">
        <f>SUM('Course Breakdwn'!R40:R76)</f>
        <v>1070000</v>
      </c>
      <c r="G36" s="148" t="s">
        <v>242</v>
      </c>
    </row>
    <row r="37" spans="1:12" x14ac:dyDescent="0.2">
      <c r="A37" s="54">
        <v>3205</v>
      </c>
      <c r="B37" s="55" t="s">
        <v>30</v>
      </c>
      <c r="C37" s="158">
        <f t="shared" si="0"/>
        <v>0</v>
      </c>
      <c r="D37" s="136"/>
      <c r="E37" s="127"/>
      <c r="F37" s="223"/>
      <c r="G37" s="148"/>
      <c r="I37" s="51"/>
      <c r="L37" s="51"/>
    </row>
    <row r="38" spans="1:12" ht="24" x14ac:dyDescent="0.2">
      <c r="A38" s="54">
        <v>3206</v>
      </c>
      <c r="B38" s="73" t="s">
        <v>74</v>
      </c>
      <c r="C38" s="158">
        <f t="shared" si="0"/>
        <v>29000</v>
      </c>
      <c r="D38" s="136"/>
      <c r="E38" s="127">
        <f>'Course Breakdwn'!R36+'Course Breakdwn'!R83</f>
        <v>29000</v>
      </c>
      <c r="F38" s="140"/>
      <c r="G38" s="148" t="s">
        <v>235</v>
      </c>
    </row>
    <row r="39" spans="1:12" x14ac:dyDescent="0.2">
      <c r="A39" s="54">
        <v>3211</v>
      </c>
      <c r="B39" s="55" t="s">
        <v>75</v>
      </c>
      <c r="C39" s="158">
        <f t="shared" si="0"/>
        <v>350400</v>
      </c>
      <c r="D39" s="136"/>
      <c r="E39" s="127"/>
      <c r="F39" s="223">
        <f>'Course Breakdwn'!R39</f>
        <v>350400</v>
      </c>
      <c r="G39" s="148"/>
      <c r="J39" s="51"/>
    </row>
    <row r="40" spans="1:12" ht="12.75" customHeight="1" x14ac:dyDescent="0.2">
      <c r="A40" s="54">
        <v>4001</v>
      </c>
      <c r="B40" s="55" t="s">
        <v>35</v>
      </c>
      <c r="C40" s="158">
        <f t="shared" si="0"/>
        <v>0</v>
      </c>
      <c r="D40" s="136"/>
      <c r="E40" s="127"/>
      <c r="F40" s="140"/>
      <c r="G40" s="148"/>
      <c r="I40" s="51"/>
      <c r="L40" s="51"/>
    </row>
    <row r="41" spans="1:12" ht="12.75" customHeight="1" x14ac:dyDescent="0.2">
      <c r="A41" s="54">
        <v>4002</v>
      </c>
      <c r="B41" s="55" t="s">
        <v>49</v>
      </c>
      <c r="C41" s="158">
        <f t="shared" si="0"/>
        <v>5000</v>
      </c>
      <c r="D41" s="136"/>
      <c r="E41" s="127">
        <f>5000</f>
        <v>5000</v>
      </c>
      <c r="F41" s="140"/>
      <c r="G41" s="148" t="s">
        <v>236</v>
      </c>
      <c r="L41" s="51"/>
    </row>
    <row r="42" spans="1:12" ht="13.5" customHeight="1" x14ac:dyDescent="0.2">
      <c r="A42" s="54">
        <v>4003</v>
      </c>
      <c r="B42" s="55" t="s">
        <v>44</v>
      </c>
      <c r="C42" s="158">
        <f t="shared" si="0"/>
        <v>30000</v>
      </c>
      <c r="D42" s="136"/>
      <c r="E42" s="127">
        <f>30000</f>
        <v>30000</v>
      </c>
      <c r="F42" s="140"/>
      <c r="G42" s="148" t="s">
        <v>239</v>
      </c>
      <c r="L42" s="51"/>
    </row>
    <row r="43" spans="1:12" x14ac:dyDescent="0.2">
      <c r="A43" s="54">
        <v>4004</v>
      </c>
      <c r="B43" s="55" t="s">
        <v>27</v>
      </c>
      <c r="C43" s="158">
        <f t="shared" si="0"/>
        <v>0</v>
      </c>
      <c r="D43" s="136"/>
      <c r="E43" s="127"/>
      <c r="F43" s="140"/>
      <c r="G43" s="148"/>
      <c r="L43" s="51"/>
    </row>
    <row r="44" spans="1:12" x14ac:dyDescent="0.2">
      <c r="A44" s="54">
        <v>4030</v>
      </c>
      <c r="B44" s="55" t="s">
        <v>26</v>
      </c>
      <c r="C44" s="158">
        <f t="shared" si="0"/>
        <v>2000</v>
      </c>
      <c r="D44" s="136"/>
      <c r="E44" s="127">
        <f>2000</f>
        <v>2000</v>
      </c>
      <c r="F44" s="140"/>
      <c r="G44" s="148" t="s">
        <v>155</v>
      </c>
      <c r="L44" s="51"/>
    </row>
    <row r="45" spans="1:12" x14ac:dyDescent="0.2">
      <c r="A45" s="54">
        <v>4035</v>
      </c>
      <c r="B45" s="55" t="s">
        <v>45</v>
      </c>
      <c r="C45" s="158">
        <f t="shared" si="0"/>
        <v>0</v>
      </c>
      <c r="D45" s="136"/>
      <c r="E45" s="127"/>
      <c r="F45" s="140"/>
      <c r="G45" s="148"/>
      <c r="L45" s="51"/>
    </row>
    <row r="46" spans="1:12" x14ac:dyDescent="0.2">
      <c r="A46" s="54">
        <v>4100</v>
      </c>
      <c r="B46" s="55" t="s">
        <v>29</v>
      </c>
      <c r="C46" s="158">
        <f t="shared" si="0"/>
        <v>7500</v>
      </c>
      <c r="D46" s="136"/>
      <c r="E46" s="127">
        <f>2500*3</f>
        <v>7500</v>
      </c>
      <c r="F46" s="140"/>
      <c r="G46" s="148" t="s">
        <v>132</v>
      </c>
      <c r="L46" s="51"/>
    </row>
    <row r="47" spans="1:12" x14ac:dyDescent="0.2">
      <c r="A47" s="54">
        <v>4200</v>
      </c>
      <c r="B47" s="55" t="s">
        <v>31</v>
      </c>
      <c r="C47" s="158">
        <f t="shared" si="0"/>
        <v>40000</v>
      </c>
      <c r="D47" s="136"/>
      <c r="E47" s="127">
        <f>40000</f>
        <v>40000</v>
      </c>
      <c r="F47" s="140"/>
      <c r="G47" s="148" t="s">
        <v>233</v>
      </c>
      <c r="L47" s="51"/>
    </row>
    <row r="48" spans="1:12" x14ac:dyDescent="0.2">
      <c r="A48" s="54">
        <v>4300</v>
      </c>
      <c r="B48" s="55" t="s">
        <v>9</v>
      </c>
      <c r="C48" s="158">
        <f t="shared" si="0"/>
        <v>60000</v>
      </c>
      <c r="D48" s="136"/>
      <c r="E48" s="127">
        <f>60000</f>
        <v>60000</v>
      </c>
      <c r="F48" s="140"/>
      <c r="G48" s="148" t="s">
        <v>137</v>
      </c>
      <c r="L48" s="51"/>
    </row>
    <row r="49" spans="1:12" x14ac:dyDescent="0.2">
      <c r="A49" s="57">
        <v>4400</v>
      </c>
      <c r="B49" s="55" t="s">
        <v>248</v>
      </c>
      <c r="C49" s="158">
        <f t="shared" si="0"/>
        <v>20000</v>
      </c>
      <c r="D49" s="136"/>
      <c r="E49" s="127">
        <f>'Course Breakdwn'!R28</f>
        <v>20000</v>
      </c>
      <c r="F49" s="140"/>
      <c r="G49" s="148" t="s">
        <v>225</v>
      </c>
      <c r="L49" s="51"/>
    </row>
    <row r="50" spans="1:12" x14ac:dyDescent="0.2">
      <c r="A50" s="57">
        <v>4410</v>
      </c>
      <c r="B50" s="55" t="s">
        <v>66</v>
      </c>
      <c r="C50" s="158">
        <f t="shared" si="0"/>
        <v>30000</v>
      </c>
      <c r="D50" s="136"/>
      <c r="E50" s="127">
        <f>'Course Breakdwn'!R22</f>
        <v>30000</v>
      </c>
      <c r="F50" s="140"/>
      <c r="G50" s="148" t="s">
        <v>234</v>
      </c>
      <c r="L50" s="51"/>
    </row>
    <row r="51" spans="1:12" x14ac:dyDescent="0.2">
      <c r="A51" s="57">
        <v>4500</v>
      </c>
      <c r="B51" s="55" t="s">
        <v>36</v>
      </c>
      <c r="C51" s="158">
        <f t="shared" si="0"/>
        <v>5000</v>
      </c>
      <c r="D51" s="136"/>
      <c r="E51" s="127">
        <f>5000</f>
        <v>5000</v>
      </c>
      <c r="F51" s="141"/>
      <c r="G51" s="148" t="s">
        <v>232</v>
      </c>
      <c r="J51" s="51"/>
      <c r="L51" s="51"/>
    </row>
    <row r="52" spans="1:12" x14ac:dyDescent="0.2">
      <c r="A52" s="57">
        <v>4600</v>
      </c>
      <c r="B52" s="55" t="s">
        <v>11</v>
      </c>
      <c r="C52" s="158">
        <f t="shared" si="0"/>
        <v>0</v>
      </c>
      <c r="D52" s="136"/>
      <c r="E52" s="127"/>
      <c r="F52" s="140"/>
      <c r="G52" s="148"/>
      <c r="L52" s="51"/>
    </row>
    <row r="53" spans="1:12" x14ac:dyDescent="0.2">
      <c r="A53" s="57">
        <v>5010</v>
      </c>
      <c r="B53" s="55" t="s">
        <v>25</v>
      </c>
      <c r="C53" s="158">
        <f t="shared" si="0"/>
        <v>6500</v>
      </c>
      <c r="D53" s="136"/>
      <c r="E53" s="127">
        <f>6500</f>
        <v>6500</v>
      </c>
      <c r="F53" s="140"/>
      <c r="G53" s="148" t="s">
        <v>231</v>
      </c>
      <c r="L53" s="51"/>
    </row>
    <row r="54" spans="1:12" ht="24" x14ac:dyDescent="0.2">
      <c r="A54" s="57">
        <v>5040</v>
      </c>
      <c r="B54" s="73" t="s">
        <v>151</v>
      </c>
      <c r="C54" s="158">
        <f t="shared" ref="C54" si="1">+F54+E54+D54</f>
        <v>150000</v>
      </c>
      <c r="D54" s="136"/>
      <c r="E54" s="127">
        <f>150000</f>
        <v>150000</v>
      </c>
      <c r="F54" s="140"/>
      <c r="G54" s="155" t="s">
        <v>150</v>
      </c>
      <c r="L54" s="51"/>
    </row>
    <row r="55" spans="1:12" x14ac:dyDescent="0.2">
      <c r="A55" s="57">
        <v>5200</v>
      </c>
      <c r="B55" s="55" t="s">
        <v>46</v>
      </c>
      <c r="C55" s="158">
        <f t="shared" si="0"/>
        <v>105000</v>
      </c>
      <c r="D55" s="136"/>
      <c r="E55" s="127">
        <f>'Course Breakdwn'!R31+'Course Breakdwn'!R18+'Course Breakdwn'!R19</f>
        <v>105000</v>
      </c>
      <c r="F55" s="140"/>
      <c r="G55" s="148" t="s">
        <v>230</v>
      </c>
      <c r="L55" s="51"/>
    </row>
    <row r="56" spans="1:12" x14ac:dyDescent="0.2">
      <c r="A56" s="57">
        <v>5300</v>
      </c>
      <c r="B56" s="55" t="s">
        <v>28</v>
      </c>
      <c r="C56" s="158">
        <f t="shared" si="0"/>
        <v>5000</v>
      </c>
      <c r="D56" s="136"/>
      <c r="E56" s="127">
        <f>5000</f>
        <v>5000</v>
      </c>
      <c r="F56" s="140"/>
      <c r="G56" s="148" t="s">
        <v>139</v>
      </c>
      <c r="L56" s="51"/>
    </row>
    <row r="57" spans="1:12" x14ac:dyDescent="0.2">
      <c r="A57" s="58">
        <v>5350</v>
      </c>
      <c r="B57" s="59" t="s">
        <v>259</v>
      </c>
      <c r="C57" s="158">
        <f t="shared" si="0"/>
        <v>35000</v>
      </c>
      <c r="D57" s="137"/>
      <c r="E57" s="128"/>
      <c r="F57" s="223">
        <f>35000</f>
        <v>35000</v>
      </c>
      <c r="G57" s="148"/>
      <c r="L57" s="51"/>
    </row>
    <row r="58" spans="1:12" x14ac:dyDescent="0.2">
      <c r="A58" s="58">
        <v>5400</v>
      </c>
      <c r="B58" s="59" t="s">
        <v>47</v>
      </c>
      <c r="C58" s="158">
        <f t="shared" si="0"/>
        <v>11000</v>
      </c>
      <c r="D58" s="137"/>
      <c r="E58" s="128">
        <f>11000</f>
        <v>11000</v>
      </c>
      <c r="F58" s="140"/>
      <c r="G58" s="148" t="s">
        <v>140</v>
      </c>
      <c r="L58" s="51"/>
    </row>
    <row r="59" spans="1:12" ht="16.5" thickBot="1" x14ac:dyDescent="0.25">
      <c r="A59" s="60"/>
      <c r="B59" s="61" t="s">
        <v>48</v>
      </c>
      <c r="C59" s="146">
        <f>SUM(C7:C58)</f>
        <v>4724183.6640516846</v>
      </c>
      <c r="D59" s="146">
        <f>SUM(D7:D58)</f>
        <v>1300000</v>
      </c>
      <c r="E59" s="146">
        <f>SUM(E7:E58)</f>
        <v>1883783.6640516843</v>
      </c>
      <c r="F59" s="146">
        <f>SUM(F7:F58)</f>
        <v>1540400</v>
      </c>
    </row>
    <row r="61" spans="1:12" x14ac:dyDescent="0.2">
      <c r="G61" s="89"/>
      <c r="H61" s="89"/>
      <c r="K61" s="89"/>
      <c r="L61" s="89"/>
    </row>
    <row r="62" spans="1:12" x14ac:dyDescent="0.2">
      <c r="F62" s="51"/>
      <c r="I62" s="89"/>
      <c r="J62" s="89"/>
    </row>
  </sheetData>
  <mergeCells count="1">
    <mergeCell ref="A2:F2"/>
  </mergeCells>
  <pageMargins left="0.33" right="0.31" top="0.5" bottom="0.25" header="0.5" footer="0.5"/>
  <pageSetup scale="87" orientation="portrait" horizontalDpi="4294967293" verticalDpi="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87"/>
  <sheetViews>
    <sheetView workbookViewId="0">
      <pane xSplit="11" ySplit="4" topLeftCell="L44" activePane="bottomRight" state="frozen"/>
      <selection pane="topRight" activeCell="L1" sqref="L1"/>
      <selection pane="bottomLeft" activeCell="A5" sqref="A5"/>
      <selection pane="bottomRight" activeCell="O49" sqref="O40:O49"/>
    </sheetView>
  </sheetViews>
  <sheetFormatPr defaultRowHeight="12.75" x14ac:dyDescent="0.2"/>
  <cols>
    <col min="1" max="1" width="1.7109375" style="163" customWidth="1"/>
    <col min="2" max="8" width="9.140625" style="163"/>
    <col min="9" max="9" width="9.5703125" style="163" customWidth="1"/>
    <col min="10" max="10" width="9.140625" style="163"/>
    <col min="11" max="11" width="17.42578125" style="163" customWidth="1"/>
    <col min="12" max="12" width="10.7109375" style="211" customWidth="1"/>
    <col min="13" max="14" width="12.42578125" style="211" customWidth="1"/>
    <col min="15" max="15" width="13" style="211" customWidth="1"/>
    <col min="16" max="18" width="12.42578125" style="211" customWidth="1"/>
    <col min="19" max="16384" width="9.140625" style="163"/>
  </cols>
  <sheetData>
    <row r="2" spans="2:18" x14ac:dyDescent="0.2">
      <c r="B2" s="159"/>
      <c r="C2" s="160"/>
      <c r="D2" s="160"/>
      <c r="E2" s="160"/>
      <c r="F2" s="160"/>
      <c r="G2" s="160"/>
      <c r="H2" s="160"/>
      <c r="I2" s="160"/>
      <c r="J2" s="160"/>
      <c r="K2" s="160"/>
      <c r="L2" s="161" t="s">
        <v>157</v>
      </c>
      <c r="M2" s="161">
        <v>2016</v>
      </c>
      <c r="N2" s="161">
        <v>2016</v>
      </c>
      <c r="O2" s="161">
        <v>2016</v>
      </c>
      <c r="P2" s="162">
        <v>2017</v>
      </c>
      <c r="Q2" s="161">
        <v>2017</v>
      </c>
      <c r="R2" s="161">
        <v>2017</v>
      </c>
    </row>
    <row r="3" spans="2:18" ht="15.75" x14ac:dyDescent="0.25">
      <c r="B3" s="164" t="s">
        <v>158</v>
      </c>
      <c r="C3" s="165"/>
      <c r="D3" s="165"/>
      <c r="E3" s="165"/>
      <c r="F3" s="165"/>
      <c r="G3" s="165"/>
      <c r="H3" s="165"/>
      <c r="I3" s="166"/>
      <c r="J3" s="167"/>
      <c r="K3" s="167"/>
      <c r="L3" s="168"/>
      <c r="M3" s="169" t="s">
        <v>159</v>
      </c>
      <c r="N3" s="169" t="s">
        <v>160</v>
      </c>
      <c r="O3" s="169" t="s">
        <v>161</v>
      </c>
      <c r="P3" s="169" t="s">
        <v>159</v>
      </c>
      <c r="Q3" s="169" t="s">
        <v>160</v>
      </c>
      <c r="R3" s="169" t="s">
        <v>161</v>
      </c>
    </row>
    <row r="4" spans="2:18" x14ac:dyDescent="0.2">
      <c r="B4" s="170"/>
      <c r="C4" s="171"/>
      <c r="D4" s="171"/>
      <c r="E4" s="171"/>
      <c r="F4" s="171"/>
      <c r="G4" s="171"/>
      <c r="H4" s="171"/>
      <c r="I4" s="171"/>
      <c r="J4" s="171"/>
      <c r="K4" s="171"/>
      <c r="L4" s="172"/>
      <c r="M4" s="172"/>
      <c r="N4" s="172"/>
      <c r="O4" s="172"/>
      <c r="P4" s="172"/>
      <c r="Q4" s="172"/>
      <c r="R4" s="172"/>
    </row>
    <row r="5" spans="2:18" x14ac:dyDescent="0.2">
      <c r="B5" s="170"/>
      <c r="C5" s="173" t="s">
        <v>162</v>
      </c>
      <c r="D5" s="174"/>
      <c r="E5" s="175"/>
      <c r="F5" s="175"/>
      <c r="G5" s="175"/>
      <c r="H5" s="175"/>
      <c r="I5" s="176"/>
      <c r="J5" s="171"/>
      <c r="K5" s="171"/>
      <c r="L5" s="172"/>
      <c r="M5" s="172"/>
      <c r="N5" s="177"/>
      <c r="O5" s="177"/>
      <c r="P5" s="172"/>
      <c r="Q5" s="177"/>
      <c r="R5" s="177"/>
    </row>
    <row r="6" spans="2:18" ht="24" customHeight="1" x14ac:dyDescent="0.2">
      <c r="B6" s="170"/>
      <c r="C6" s="171"/>
      <c r="D6" s="171"/>
      <c r="E6" s="178" t="s">
        <v>163</v>
      </c>
      <c r="F6" s="179"/>
      <c r="G6" s="179"/>
      <c r="H6" s="179"/>
      <c r="I6" s="179"/>
      <c r="J6" s="179"/>
      <c r="K6" s="179"/>
      <c r="L6" s="180" t="s">
        <v>164</v>
      </c>
      <c r="M6" s="180">
        <v>2</v>
      </c>
      <c r="N6" s="288">
        <f>50000</f>
        <v>50000</v>
      </c>
      <c r="O6" s="288">
        <f>80000</f>
        <v>80000</v>
      </c>
      <c r="P6" s="249">
        <v>0</v>
      </c>
      <c r="Q6" s="181">
        <f>50000</f>
        <v>50000</v>
      </c>
      <c r="R6" s="181">
        <f>80000</f>
        <v>80000</v>
      </c>
    </row>
    <row r="7" spans="2:18" ht="24" customHeight="1" x14ac:dyDescent="0.2">
      <c r="B7" s="170"/>
      <c r="C7" s="171"/>
      <c r="D7" s="171"/>
      <c r="E7" s="252" t="s">
        <v>257</v>
      </c>
      <c r="F7" s="253"/>
      <c r="G7" s="253"/>
      <c r="H7" s="253"/>
      <c r="I7" s="253"/>
      <c r="J7" s="253"/>
      <c r="K7" s="253"/>
      <c r="L7" s="254" t="s">
        <v>164</v>
      </c>
      <c r="M7" s="254">
        <v>2</v>
      </c>
      <c r="N7" s="255"/>
      <c r="O7" s="255">
        <f>80000</f>
        <v>80000</v>
      </c>
      <c r="P7" s="254"/>
      <c r="Q7" s="255"/>
      <c r="R7" s="255">
        <f>80000</f>
        <v>80000</v>
      </c>
    </row>
    <row r="8" spans="2:18" ht="27.75" customHeight="1" x14ac:dyDescent="0.2">
      <c r="B8" s="170"/>
      <c r="C8" s="171"/>
      <c r="D8" s="171"/>
      <c r="E8" s="386" t="s">
        <v>165</v>
      </c>
      <c r="F8" s="387"/>
      <c r="G8" s="387"/>
      <c r="H8" s="387"/>
      <c r="I8" s="387"/>
      <c r="J8" s="387"/>
      <c r="K8" s="388"/>
      <c r="L8" s="182" t="s">
        <v>166</v>
      </c>
      <c r="M8" s="182">
        <v>1</v>
      </c>
      <c r="N8" s="183"/>
      <c r="O8" s="286">
        <f>50000</f>
        <v>50000</v>
      </c>
      <c r="P8" s="250">
        <v>1</v>
      </c>
      <c r="Q8" s="183"/>
      <c r="R8" s="183">
        <f>55000</f>
        <v>55000</v>
      </c>
    </row>
    <row r="9" spans="2:18" x14ac:dyDescent="0.2">
      <c r="B9" s="170"/>
      <c r="C9" s="171"/>
      <c r="D9" s="171"/>
      <c r="E9" s="171"/>
      <c r="F9" s="171"/>
      <c r="G9" s="171"/>
      <c r="H9" s="171"/>
      <c r="I9" s="171"/>
      <c r="J9" s="171"/>
      <c r="K9" s="171"/>
      <c r="L9" s="172"/>
      <c r="M9" s="172"/>
      <c r="N9" s="177"/>
      <c r="O9" s="177"/>
      <c r="P9" s="172"/>
      <c r="Q9" s="177"/>
      <c r="R9" s="177"/>
    </row>
    <row r="10" spans="2:18" x14ac:dyDescent="0.2">
      <c r="B10" s="170"/>
      <c r="C10" s="173" t="s">
        <v>167</v>
      </c>
      <c r="D10" s="174"/>
      <c r="E10" s="175"/>
      <c r="F10" s="175"/>
      <c r="G10" s="175"/>
      <c r="H10" s="175"/>
      <c r="I10" s="176"/>
      <c r="J10" s="171"/>
      <c r="K10" s="171"/>
      <c r="L10" s="172"/>
      <c r="M10" s="172"/>
      <c r="N10" s="177"/>
      <c r="O10" s="177"/>
      <c r="P10" s="172"/>
      <c r="Q10" s="177"/>
      <c r="R10" s="177"/>
    </row>
    <row r="11" spans="2:18" ht="39" customHeight="1" x14ac:dyDescent="0.2">
      <c r="B11" s="170"/>
      <c r="C11" s="171"/>
      <c r="D11" s="171"/>
      <c r="E11" s="389" t="s">
        <v>258</v>
      </c>
      <c r="F11" s="390"/>
      <c r="G11" s="390"/>
      <c r="H11" s="390"/>
      <c r="I11" s="390"/>
      <c r="J11" s="390"/>
      <c r="K11" s="391"/>
      <c r="L11" s="184" t="s">
        <v>164</v>
      </c>
      <c r="M11" s="184">
        <v>1</v>
      </c>
      <c r="N11" s="185">
        <f>0</f>
        <v>0</v>
      </c>
      <c r="O11" s="289">
        <f>1500</f>
        <v>1500</v>
      </c>
      <c r="P11" s="244">
        <v>1</v>
      </c>
      <c r="Q11" s="185">
        <f>0</f>
        <v>0</v>
      </c>
      <c r="R11" s="185">
        <f>1500</f>
        <v>1500</v>
      </c>
    </row>
    <row r="12" spans="2:18" ht="39" customHeight="1" x14ac:dyDescent="0.2">
      <c r="B12" s="170"/>
      <c r="C12" s="171"/>
      <c r="D12" s="171"/>
      <c r="E12" s="389" t="s">
        <v>285</v>
      </c>
      <c r="F12" s="390"/>
      <c r="G12" s="390"/>
      <c r="H12" s="390"/>
      <c r="I12" s="390"/>
      <c r="J12" s="390"/>
      <c r="K12" s="391"/>
      <c r="L12" s="184" t="s">
        <v>164</v>
      </c>
      <c r="M12" s="184">
        <v>2</v>
      </c>
      <c r="N12" s="185">
        <f>0</f>
        <v>0</v>
      </c>
      <c r="O12" s="289">
        <f>1500</f>
        <v>1500</v>
      </c>
      <c r="P12" s="244">
        <v>2</v>
      </c>
      <c r="Q12" s="185">
        <f>0</f>
        <v>0</v>
      </c>
      <c r="R12" s="185">
        <f>1500</f>
        <v>1500</v>
      </c>
    </row>
    <row r="13" spans="2:18" ht="18.75" customHeight="1" x14ac:dyDescent="0.2">
      <c r="B13" s="170"/>
      <c r="C13" s="171"/>
      <c r="D13" s="171"/>
      <c r="E13" s="386" t="s">
        <v>286</v>
      </c>
      <c r="F13" s="387"/>
      <c r="G13" s="387"/>
      <c r="H13" s="387"/>
      <c r="I13" s="387"/>
      <c r="J13" s="387"/>
      <c r="K13" s="388"/>
      <c r="L13" s="186" t="s">
        <v>164</v>
      </c>
      <c r="M13" s="186">
        <v>2</v>
      </c>
      <c r="N13" s="187">
        <f>0</f>
        <v>0</v>
      </c>
      <c r="O13" s="287">
        <f>1000</f>
        <v>1000</v>
      </c>
      <c r="P13" s="247">
        <v>2</v>
      </c>
      <c r="Q13" s="187">
        <f>0</f>
        <v>0</v>
      </c>
      <c r="R13" s="187">
        <f>1000</f>
        <v>1000</v>
      </c>
    </row>
    <row r="14" spans="2:18" x14ac:dyDescent="0.2">
      <c r="B14" s="170"/>
      <c r="C14" s="171"/>
      <c r="D14" s="171"/>
      <c r="E14" s="171"/>
      <c r="F14" s="171"/>
      <c r="G14" s="171"/>
      <c r="H14" s="171"/>
      <c r="I14" s="171"/>
      <c r="J14" s="171"/>
      <c r="K14" s="171"/>
      <c r="L14" s="172"/>
      <c r="M14" s="172"/>
      <c r="N14" s="177"/>
      <c r="O14" s="177"/>
      <c r="P14" s="172"/>
      <c r="Q14" s="177"/>
      <c r="R14" s="177"/>
    </row>
    <row r="15" spans="2:18" ht="15.75" x14ac:dyDescent="0.2">
      <c r="B15" s="188" t="s">
        <v>168</v>
      </c>
      <c r="C15" s="165"/>
      <c r="D15" s="165"/>
      <c r="E15" s="165"/>
      <c r="F15" s="165"/>
      <c r="G15" s="165"/>
      <c r="H15" s="165"/>
      <c r="I15" s="166"/>
      <c r="J15" s="171"/>
      <c r="K15" s="171"/>
      <c r="L15" s="172"/>
      <c r="M15" s="172"/>
      <c r="N15" s="177"/>
      <c r="O15" s="177"/>
      <c r="P15" s="172"/>
      <c r="Q15" s="177"/>
      <c r="R15" s="177"/>
    </row>
    <row r="16" spans="2:18" x14ac:dyDescent="0.2">
      <c r="B16" s="170"/>
      <c r="C16" s="171"/>
      <c r="D16" s="171"/>
      <c r="E16" s="171"/>
      <c r="F16" s="171"/>
      <c r="G16" s="171"/>
      <c r="H16" s="171"/>
      <c r="I16" s="171"/>
      <c r="J16" s="171"/>
      <c r="K16" s="171"/>
      <c r="L16" s="172"/>
      <c r="M16" s="172"/>
      <c r="N16" s="177"/>
      <c r="O16" s="177"/>
      <c r="P16" s="172"/>
      <c r="Q16" s="177"/>
      <c r="R16" s="177"/>
    </row>
    <row r="17" spans="2:18" x14ac:dyDescent="0.2">
      <c r="B17" s="170"/>
      <c r="C17" s="173" t="s">
        <v>169</v>
      </c>
      <c r="D17" s="174"/>
      <c r="E17" s="174"/>
      <c r="F17" s="175"/>
      <c r="G17" s="175"/>
      <c r="H17" s="175"/>
      <c r="I17" s="176"/>
      <c r="J17" s="171"/>
      <c r="K17" s="171"/>
      <c r="L17" s="172"/>
      <c r="M17" s="172"/>
      <c r="N17" s="177"/>
      <c r="O17" s="177"/>
      <c r="P17" s="172"/>
      <c r="Q17" s="177"/>
      <c r="R17" s="177"/>
    </row>
    <row r="18" spans="2:18" x14ac:dyDescent="0.2">
      <c r="B18" s="170"/>
      <c r="C18" s="171"/>
      <c r="D18" s="171"/>
      <c r="E18" s="170" t="s">
        <v>170</v>
      </c>
      <c r="F18" s="167"/>
      <c r="G18" s="167"/>
      <c r="H18" s="167"/>
      <c r="I18" s="167"/>
      <c r="J18" s="167"/>
      <c r="K18" s="167"/>
      <c r="L18" s="189" t="s">
        <v>166</v>
      </c>
      <c r="M18" s="189">
        <v>2</v>
      </c>
      <c r="N18" s="190">
        <f>0</f>
        <v>0</v>
      </c>
      <c r="O18" s="285">
        <f>30000</f>
        <v>30000</v>
      </c>
      <c r="P18" s="189">
        <v>1</v>
      </c>
      <c r="Q18" s="190">
        <f>0</f>
        <v>0</v>
      </c>
      <c r="R18" s="190">
        <f>15000</f>
        <v>15000</v>
      </c>
    </row>
    <row r="19" spans="2:18" x14ac:dyDescent="0.2">
      <c r="B19" s="170"/>
      <c r="C19" s="171"/>
      <c r="D19" s="171"/>
      <c r="E19" s="191" t="s">
        <v>171</v>
      </c>
      <c r="F19" s="192"/>
      <c r="G19" s="192"/>
      <c r="H19" s="192"/>
      <c r="I19" s="192"/>
      <c r="J19" s="192"/>
      <c r="K19" s="192"/>
      <c r="L19" s="182" t="s">
        <v>166</v>
      </c>
      <c r="M19" s="182">
        <v>2</v>
      </c>
      <c r="N19" s="183">
        <f>0</f>
        <v>0</v>
      </c>
      <c r="O19" s="286">
        <f>20000</f>
        <v>20000</v>
      </c>
      <c r="P19" s="182">
        <v>2</v>
      </c>
      <c r="Q19" s="183">
        <f>0</f>
        <v>0</v>
      </c>
      <c r="R19" s="183">
        <f>20000</f>
        <v>20000</v>
      </c>
    </row>
    <row r="20" spans="2:18" x14ac:dyDescent="0.2">
      <c r="B20" s="170"/>
      <c r="C20" s="171"/>
      <c r="D20" s="171"/>
      <c r="E20" s="171"/>
      <c r="F20" s="171"/>
      <c r="G20" s="171"/>
      <c r="H20" s="171"/>
      <c r="I20" s="171"/>
      <c r="J20" s="171"/>
      <c r="K20" s="171"/>
      <c r="L20" s="172"/>
      <c r="M20" s="172"/>
      <c r="N20" s="177"/>
      <c r="O20" s="177"/>
      <c r="P20" s="172"/>
      <c r="Q20" s="177"/>
      <c r="R20" s="177"/>
    </row>
    <row r="21" spans="2:18" x14ac:dyDescent="0.2">
      <c r="B21" s="170"/>
      <c r="C21" s="173" t="s">
        <v>172</v>
      </c>
      <c r="D21" s="174"/>
      <c r="E21" s="175"/>
      <c r="F21" s="175"/>
      <c r="G21" s="175"/>
      <c r="H21" s="175"/>
      <c r="I21" s="176"/>
      <c r="J21" s="171"/>
      <c r="K21" s="171"/>
      <c r="L21" s="172"/>
      <c r="M21" s="172"/>
      <c r="N21" s="177"/>
      <c r="O21" s="177"/>
      <c r="P21" s="172"/>
      <c r="Q21" s="177"/>
      <c r="R21" s="177"/>
    </row>
    <row r="22" spans="2:18" ht="33" customHeight="1" x14ac:dyDescent="0.2">
      <c r="B22" s="170"/>
      <c r="C22" s="171"/>
      <c r="D22" s="171"/>
      <c r="E22" s="389" t="s">
        <v>173</v>
      </c>
      <c r="F22" s="390"/>
      <c r="G22" s="390"/>
      <c r="H22" s="390"/>
      <c r="I22" s="390"/>
      <c r="J22" s="390"/>
      <c r="K22" s="390"/>
      <c r="L22" s="180" t="s">
        <v>166</v>
      </c>
      <c r="M22" s="180">
        <v>1</v>
      </c>
      <c r="N22" s="181">
        <f>0</f>
        <v>0</v>
      </c>
      <c r="O22" s="288">
        <f>30000</f>
        <v>30000</v>
      </c>
      <c r="P22" s="180">
        <v>1</v>
      </c>
      <c r="Q22" s="181">
        <f>0</f>
        <v>0</v>
      </c>
      <c r="R22" s="181">
        <f>30000</f>
        <v>30000</v>
      </c>
    </row>
    <row r="23" spans="2:18" x14ac:dyDescent="0.2">
      <c r="B23" s="170"/>
      <c r="C23" s="171"/>
      <c r="D23" s="171"/>
      <c r="E23" s="171"/>
      <c r="F23" s="171"/>
      <c r="G23" s="171"/>
      <c r="H23" s="171"/>
      <c r="I23" s="171"/>
      <c r="J23" s="171"/>
      <c r="K23" s="171"/>
      <c r="L23" s="172"/>
      <c r="M23" s="172"/>
      <c r="N23" s="177"/>
      <c r="O23" s="177"/>
      <c r="P23" s="172"/>
      <c r="Q23" s="177"/>
      <c r="R23" s="177"/>
    </row>
    <row r="24" spans="2:18" x14ac:dyDescent="0.2">
      <c r="B24" s="170"/>
      <c r="C24" s="173" t="s">
        <v>174</v>
      </c>
      <c r="D24" s="174"/>
      <c r="E24" s="175"/>
      <c r="F24" s="175"/>
      <c r="G24" s="175"/>
      <c r="H24" s="175"/>
      <c r="I24" s="176"/>
      <c r="J24" s="171"/>
      <c r="K24" s="171"/>
      <c r="L24" s="172"/>
      <c r="M24" s="172"/>
      <c r="N24" s="177"/>
      <c r="O24" s="177"/>
      <c r="P24" s="172"/>
      <c r="Q24" s="177"/>
      <c r="R24" s="177"/>
    </row>
    <row r="25" spans="2:18" ht="29.25" customHeight="1" x14ac:dyDescent="0.2">
      <c r="B25" s="170"/>
      <c r="C25" s="171"/>
      <c r="D25" s="171"/>
      <c r="E25" s="389" t="s">
        <v>175</v>
      </c>
      <c r="F25" s="390"/>
      <c r="G25" s="390"/>
      <c r="H25" s="390"/>
      <c r="I25" s="390"/>
      <c r="J25" s="390"/>
      <c r="K25" s="390"/>
      <c r="L25" s="184" t="s">
        <v>166</v>
      </c>
      <c r="M25" s="184">
        <v>1</v>
      </c>
      <c r="N25" s="185">
        <v>0</v>
      </c>
      <c r="O25" s="289">
        <f>7500*2</f>
        <v>15000</v>
      </c>
      <c r="P25" s="244">
        <v>1</v>
      </c>
      <c r="Q25" s="185">
        <f>0</f>
        <v>0</v>
      </c>
      <c r="R25" s="185">
        <f>7500*2</f>
        <v>15000</v>
      </c>
    </row>
    <row r="26" spans="2:18" x14ac:dyDescent="0.2">
      <c r="B26" s="170"/>
      <c r="C26" s="171"/>
      <c r="D26" s="171"/>
      <c r="E26" s="171"/>
      <c r="F26" s="171"/>
      <c r="G26" s="171"/>
      <c r="H26" s="171"/>
      <c r="I26" s="171"/>
      <c r="J26" s="171"/>
      <c r="K26" s="171"/>
      <c r="L26" s="172"/>
      <c r="M26" s="172"/>
      <c r="N26" s="177"/>
      <c r="O26" s="177"/>
      <c r="P26" s="172"/>
      <c r="Q26" s="177"/>
      <c r="R26" s="177"/>
    </row>
    <row r="27" spans="2:18" x14ac:dyDescent="0.2">
      <c r="B27" s="170"/>
      <c r="C27" s="173" t="s">
        <v>176</v>
      </c>
      <c r="D27" s="174"/>
      <c r="E27" s="175"/>
      <c r="F27" s="175"/>
      <c r="G27" s="175"/>
      <c r="H27" s="175"/>
      <c r="I27" s="176"/>
      <c r="J27" s="171"/>
      <c r="K27" s="171"/>
      <c r="L27" s="172"/>
      <c r="M27" s="172"/>
      <c r="N27" s="177"/>
      <c r="O27" s="177"/>
      <c r="P27" s="172"/>
      <c r="Q27" s="177"/>
      <c r="R27" s="177"/>
    </row>
    <row r="28" spans="2:18" ht="33" customHeight="1" x14ac:dyDescent="0.2">
      <c r="B28" s="170"/>
      <c r="C28" s="171"/>
      <c r="D28" s="171"/>
      <c r="E28" s="389" t="s">
        <v>177</v>
      </c>
      <c r="F28" s="390"/>
      <c r="G28" s="390"/>
      <c r="H28" s="390"/>
      <c r="I28" s="390"/>
      <c r="J28" s="390"/>
      <c r="K28" s="390"/>
      <c r="L28" s="184" t="s">
        <v>166</v>
      </c>
      <c r="M28" s="180">
        <v>1</v>
      </c>
      <c r="N28" s="193">
        <f>0</f>
        <v>0</v>
      </c>
      <c r="O28" s="290">
        <f>20000</f>
        <v>20000</v>
      </c>
      <c r="P28" s="248">
        <v>1</v>
      </c>
      <c r="Q28" s="193">
        <f>0</f>
        <v>0</v>
      </c>
      <c r="R28" s="193">
        <f>20000</f>
        <v>20000</v>
      </c>
    </row>
    <row r="29" spans="2:18" x14ac:dyDescent="0.2">
      <c r="B29" s="170"/>
      <c r="C29" s="171"/>
      <c r="D29" s="171"/>
      <c r="E29" s="171"/>
      <c r="F29" s="171"/>
      <c r="G29" s="171"/>
      <c r="H29" s="171"/>
      <c r="I29" s="171"/>
      <c r="J29" s="171"/>
      <c r="K29" s="171"/>
      <c r="L29" s="172"/>
      <c r="M29" s="172"/>
      <c r="N29" s="177"/>
      <c r="O29" s="177"/>
      <c r="P29" s="172"/>
      <c r="Q29" s="177"/>
      <c r="R29" s="177"/>
    </row>
    <row r="30" spans="2:18" x14ac:dyDescent="0.2">
      <c r="B30" s="170"/>
      <c r="C30" s="173" t="s">
        <v>178</v>
      </c>
      <c r="D30" s="174"/>
      <c r="E30" s="174"/>
      <c r="F30" s="174"/>
      <c r="G30" s="174"/>
      <c r="H30" s="174"/>
      <c r="I30" s="194"/>
      <c r="J30" s="192"/>
      <c r="K30" s="192"/>
      <c r="L30" s="195"/>
      <c r="M30" s="195"/>
      <c r="N30" s="196"/>
      <c r="O30" s="196"/>
      <c r="P30" s="195"/>
      <c r="Q30" s="196"/>
      <c r="R30" s="196"/>
    </row>
    <row r="31" spans="2:18" ht="31.5" customHeight="1" x14ac:dyDescent="0.2">
      <c r="B31" s="170"/>
      <c r="C31" s="171"/>
      <c r="D31" s="171"/>
      <c r="E31" s="386" t="s">
        <v>179</v>
      </c>
      <c r="F31" s="387"/>
      <c r="G31" s="387"/>
      <c r="H31" s="387"/>
      <c r="I31" s="387"/>
      <c r="J31" s="387"/>
      <c r="K31" s="387"/>
      <c r="L31" s="186" t="s">
        <v>166</v>
      </c>
      <c r="M31" s="186">
        <v>1</v>
      </c>
      <c r="N31" s="187">
        <f>0</f>
        <v>0</v>
      </c>
      <c r="O31" s="287">
        <f>90000</f>
        <v>90000</v>
      </c>
      <c r="P31" s="247">
        <v>1</v>
      </c>
      <c r="Q31" s="187">
        <f>0</f>
        <v>0</v>
      </c>
      <c r="R31" s="187">
        <f>70000</f>
        <v>70000</v>
      </c>
    </row>
    <row r="32" spans="2:18" x14ac:dyDescent="0.2">
      <c r="B32" s="170"/>
      <c r="C32" s="171"/>
      <c r="D32" s="171"/>
      <c r="E32" s="171"/>
      <c r="F32" s="171"/>
      <c r="G32" s="171"/>
      <c r="H32" s="171"/>
      <c r="I32" s="171"/>
      <c r="J32" s="171"/>
      <c r="K32" s="171"/>
      <c r="L32" s="172"/>
      <c r="M32" s="172"/>
      <c r="N32" s="177"/>
      <c r="O32" s="177"/>
      <c r="P32" s="172"/>
      <c r="Q32" s="177"/>
      <c r="R32" s="177"/>
    </row>
    <row r="33" spans="2:18" ht="15.75" x14ac:dyDescent="0.2">
      <c r="B33" s="188" t="s">
        <v>180</v>
      </c>
      <c r="C33" s="165"/>
      <c r="D33" s="165"/>
      <c r="E33" s="165"/>
      <c r="F33" s="165"/>
      <c r="G33" s="165"/>
      <c r="H33" s="165"/>
      <c r="I33" s="166"/>
      <c r="J33" s="171"/>
      <c r="K33" s="171"/>
      <c r="L33" s="172"/>
      <c r="M33" s="172"/>
      <c r="N33" s="177"/>
      <c r="O33" s="177"/>
      <c r="P33" s="172"/>
      <c r="Q33" s="177"/>
      <c r="R33" s="177"/>
    </row>
    <row r="34" spans="2:18" x14ac:dyDescent="0.2">
      <c r="B34" s="170"/>
      <c r="C34" s="171"/>
      <c r="D34" s="171"/>
      <c r="E34" s="171"/>
      <c r="F34" s="171"/>
      <c r="G34" s="171"/>
      <c r="H34" s="171"/>
      <c r="I34" s="171"/>
      <c r="J34" s="171"/>
      <c r="K34" s="171"/>
      <c r="L34" s="172"/>
      <c r="M34" s="172"/>
      <c r="N34" s="177"/>
      <c r="O34" s="177"/>
      <c r="P34" s="172"/>
      <c r="Q34" s="177"/>
      <c r="R34" s="177"/>
    </row>
    <row r="35" spans="2:18" x14ac:dyDescent="0.2">
      <c r="B35" s="170"/>
      <c r="C35" s="173" t="s">
        <v>181</v>
      </c>
      <c r="D35" s="174"/>
      <c r="E35" s="175"/>
      <c r="F35" s="175"/>
      <c r="G35" s="175"/>
      <c r="H35" s="175"/>
      <c r="I35" s="176"/>
      <c r="J35" s="171"/>
      <c r="K35" s="171"/>
      <c r="L35" s="172"/>
      <c r="M35" s="172"/>
      <c r="N35" s="177"/>
      <c r="O35" s="177"/>
      <c r="P35" s="172"/>
      <c r="Q35" s="177"/>
      <c r="R35" s="177"/>
    </row>
    <row r="36" spans="2:18" ht="79.5" customHeight="1" x14ac:dyDescent="0.2">
      <c r="B36" s="170"/>
      <c r="C36" s="171"/>
      <c r="D36" s="171"/>
      <c r="E36" s="389" t="s">
        <v>182</v>
      </c>
      <c r="F36" s="390"/>
      <c r="G36" s="390"/>
      <c r="H36" s="390"/>
      <c r="I36" s="390"/>
      <c r="J36" s="390"/>
      <c r="K36" s="390"/>
      <c r="L36" s="184" t="s">
        <v>166</v>
      </c>
      <c r="M36" s="184">
        <v>3</v>
      </c>
      <c r="N36" s="185">
        <f>0</f>
        <v>0</v>
      </c>
      <c r="O36" s="289">
        <f>36000</f>
        <v>36000</v>
      </c>
      <c r="P36" s="244">
        <v>2</v>
      </c>
      <c r="Q36" s="185">
        <f>0</f>
        <v>0</v>
      </c>
      <c r="R36" s="185">
        <f>24000</f>
        <v>24000</v>
      </c>
    </row>
    <row r="37" spans="2:18" x14ac:dyDescent="0.2">
      <c r="B37" s="170"/>
      <c r="C37" s="171"/>
      <c r="D37" s="171"/>
      <c r="E37" s="171"/>
      <c r="F37" s="171"/>
      <c r="G37" s="171"/>
      <c r="H37" s="171"/>
      <c r="I37" s="171"/>
      <c r="J37" s="171"/>
      <c r="K37" s="171"/>
      <c r="L37" s="172"/>
      <c r="M37" s="172"/>
      <c r="N37" s="177"/>
      <c r="O37" s="177"/>
      <c r="P37" s="172"/>
      <c r="Q37" s="177"/>
      <c r="R37" s="177"/>
    </row>
    <row r="38" spans="2:18" x14ac:dyDescent="0.2">
      <c r="B38" s="170"/>
      <c r="C38" s="173" t="s">
        <v>183</v>
      </c>
      <c r="D38" s="174"/>
      <c r="E38" s="175"/>
      <c r="F38" s="175"/>
      <c r="G38" s="175"/>
      <c r="H38" s="175"/>
      <c r="I38" s="176"/>
      <c r="J38" s="171"/>
      <c r="K38" s="171"/>
      <c r="L38" s="172"/>
      <c r="M38" s="172"/>
      <c r="N38" s="177"/>
      <c r="O38" s="177"/>
      <c r="P38" s="172"/>
      <c r="Q38" s="177"/>
      <c r="R38" s="177"/>
    </row>
    <row r="39" spans="2:18" ht="28.5" customHeight="1" x14ac:dyDescent="0.2">
      <c r="B39" s="170"/>
      <c r="C39" s="171"/>
      <c r="D39" s="171"/>
      <c r="E39" s="392" t="s">
        <v>184</v>
      </c>
      <c r="F39" s="393"/>
      <c r="G39" s="393"/>
      <c r="H39" s="393"/>
      <c r="I39" s="393"/>
      <c r="J39" s="393"/>
      <c r="K39" s="393"/>
      <c r="L39" s="212" t="s">
        <v>166</v>
      </c>
      <c r="M39" s="197">
        <v>2</v>
      </c>
      <c r="N39" s="198">
        <f>0</f>
        <v>0</v>
      </c>
      <c r="O39" s="292">
        <f>160000*2</f>
        <v>320000</v>
      </c>
      <c r="P39" s="245">
        <v>0</v>
      </c>
      <c r="Q39" s="198">
        <f>0</f>
        <v>0</v>
      </c>
      <c r="R39" s="199">
        <f>175200*2</f>
        <v>350400</v>
      </c>
    </row>
    <row r="40" spans="2:18" ht="28.5" customHeight="1" x14ac:dyDescent="0.2">
      <c r="B40" s="170"/>
      <c r="C40" s="171"/>
      <c r="D40" s="171"/>
      <c r="E40" s="384" t="s">
        <v>185</v>
      </c>
      <c r="F40" s="385"/>
      <c r="G40" s="385"/>
      <c r="H40" s="385"/>
      <c r="I40" s="385"/>
      <c r="J40" s="385"/>
      <c r="K40" s="385"/>
      <c r="L40" s="200" t="s">
        <v>166</v>
      </c>
      <c r="M40" s="201">
        <v>1</v>
      </c>
      <c r="N40" s="202">
        <f>0</f>
        <v>0</v>
      </c>
      <c r="O40" s="291">
        <f>90000</f>
        <v>90000</v>
      </c>
      <c r="P40" s="201">
        <v>0</v>
      </c>
      <c r="Q40" s="202">
        <f>0</f>
        <v>0</v>
      </c>
      <c r="R40" s="202">
        <f>0</f>
        <v>0</v>
      </c>
    </row>
    <row r="41" spans="2:18" ht="30" customHeight="1" x14ac:dyDescent="0.2">
      <c r="B41" s="170"/>
      <c r="C41" s="171"/>
      <c r="D41" s="171"/>
      <c r="E41" s="384" t="s">
        <v>186</v>
      </c>
      <c r="F41" s="385"/>
      <c r="G41" s="385"/>
      <c r="H41" s="385"/>
      <c r="I41" s="385"/>
      <c r="J41" s="385"/>
      <c r="K41" s="385"/>
      <c r="L41" s="200" t="s">
        <v>166</v>
      </c>
      <c r="M41" s="201">
        <v>1</v>
      </c>
      <c r="N41" s="291">
        <f>40000</f>
        <v>40000</v>
      </c>
      <c r="O41" s="291">
        <f>75000</f>
        <v>75000</v>
      </c>
      <c r="P41" s="201">
        <v>0</v>
      </c>
      <c r="Q41" s="202">
        <f>0</f>
        <v>0</v>
      </c>
      <c r="R41" s="202">
        <f>0</f>
        <v>0</v>
      </c>
    </row>
    <row r="42" spans="2:18" ht="39" customHeight="1" x14ac:dyDescent="0.2">
      <c r="B42" s="170"/>
      <c r="C42" s="171"/>
      <c r="D42" s="171"/>
      <c r="E42" s="384" t="s">
        <v>187</v>
      </c>
      <c r="F42" s="385"/>
      <c r="G42" s="385"/>
      <c r="H42" s="385"/>
      <c r="I42" s="385"/>
      <c r="J42" s="385"/>
      <c r="K42" s="385"/>
      <c r="L42" s="200" t="s">
        <v>166</v>
      </c>
      <c r="M42" s="201">
        <v>1</v>
      </c>
      <c r="N42" s="291">
        <f>40000</f>
        <v>40000</v>
      </c>
      <c r="O42" s="291">
        <f>75000</f>
        <v>75000</v>
      </c>
      <c r="P42" s="201">
        <v>0</v>
      </c>
      <c r="Q42" s="202">
        <f>0</f>
        <v>0</v>
      </c>
      <c r="R42" s="202">
        <f>0</f>
        <v>0</v>
      </c>
    </row>
    <row r="43" spans="2:18" ht="43.5" customHeight="1" x14ac:dyDescent="0.2">
      <c r="B43" s="170"/>
      <c r="C43" s="171"/>
      <c r="D43" s="171"/>
      <c r="E43" s="384" t="s">
        <v>188</v>
      </c>
      <c r="F43" s="385"/>
      <c r="G43" s="385"/>
      <c r="H43" s="385"/>
      <c r="I43" s="385"/>
      <c r="J43" s="385"/>
      <c r="K43" s="385"/>
      <c r="L43" s="200" t="s">
        <v>166</v>
      </c>
      <c r="M43" s="201">
        <v>1</v>
      </c>
      <c r="N43" s="291">
        <f>40000</f>
        <v>40000</v>
      </c>
      <c r="O43" s="291">
        <f>75000</f>
        <v>75000</v>
      </c>
      <c r="P43" s="201">
        <v>0</v>
      </c>
      <c r="Q43" s="202">
        <f>0</f>
        <v>0</v>
      </c>
      <c r="R43" s="202">
        <f>0</f>
        <v>0</v>
      </c>
    </row>
    <row r="44" spans="2:18" ht="51.75" customHeight="1" x14ac:dyDescent="0.2">
      <c r="B44" s="170"/>
      <c r="C44" s="171"/>
      <c r="D44" s="171"/>
      <c r="E44" s="384" t="s">
        <v>189</v>
      </c>
      <c r="F44" s="385"/>
      <c r="G44" s="385"/>
      <c r="H44" s="385"/>
      <c r="I44" s="385"/>
      <c r="J44" s="385"/>
      <c r="K44" s="385"/>
      <c r="L44" s="200" t="s">
        <v>166</v>
      </c>
      <c r="M44" s="201">
        <v>1</v>
      </c>
      <c r="N44" s="291">
        <f>35000</f>
        <v>35000</v>
      </c>
      <c r="O44" s="291">
        <f>80000</f>
        <v>80000</v>
      </c>
      <c r="P44" s="201">
        <v>0</v>
      </c>
      <c r="Q44" s="202">
        <f>0</f>
        <v>0</v>
      </c>
      <c r="R44" s="202">
        <f>0</f>
        <v>0</v>
      </c>
    </row>
    <row r="45" spans="2:18" ht="51.75" customHeight="1" x14ac:dyDescent="0.2">
      <c r="B45" s="170"/>
      <c r="C45" s="171"/>
      <c r="D45" s="171"/>
      <c r="E45" s="384" t="s">
        <v>190</v>
      </c>
      <c r="F45" s="385"/>
      <c r="G45" s="385"/>
      <c r="H45" s="385"/>
      <c r="I45" s="385"/>
      <c r="J45" s="385"/>
      <c r="K45" s="385"/>
      <c r="L45" s="200" t="s">
        <v>166</v>
      </c>
      <c r="M45" s="201">
        <v>1</v>
      </c>
      <c r="N45" s="291">
        <f>40000</f>
        <v>40000</v>
      </c>
      <c r="O45" s="291">
        <f>75000</f>
        <v>75000</v>
      </c>
      <c r="P45" s="201">
        <v>0</v>
      </c>
      <c r="Q45" s="202">
        <f>0</f>
        <v>0</v>
      </c>
      <c r="R45" s="202">
        <f>0</f>
        <v>0</v>
      </c>
    </row>
    <row r="46" spans="2:18" ht="39.75" customHeight="1" x14ac:dyDescent="0.2">
      <c r="B46" s="170"/>
      <c r="C46" s="171"/>
      <c r="D46" s="171"/>
      <c r="E46" s="384" t="s">
        <v>191</v>
      </c>
      <c r="F46" s="385"/>
      <c r="G46" s="385"/>
      <c r="H46" s="385"/>
      <c r="I46" s="385"/>
      <c r="J46" s="385"/>
      <c r="K46" s="385"/>
      <c r="L46" s="200" t="s">
        <v>166</v>
      </c>
      <c r="M46" s="201">
        <v>1</v>
      </c>
      <c r="N46" s="291">
        <f>40000</f>
        <v>40000</v>
      </c>
      <c r="O46" s="291">
        <v>75000</v>
      </c>
      <c r="P46" s="201">
        <v>0</v>
      </c>
      <c r="Q46" s="202">
        <f>0</f>
        <v>0</v>
      </c>
      <c r="R46" s="202">
        <f>0</f>
        <v>0</v>
      </c>
    </row>
    <row r="47" spans="2:18" ht="54.75" customHeight="1" x14ac:dyDescent="0.2">
      <c r="B47" s="170"/>
      <c r="C47" s="171"/>
      <c r="D47" s="171"/>
      <c r="E47" s="384" t="s">
        <v>192</v>
      </c>
      <c r="F47" s="385"/>
      <c r="G47" s="385"/>
      <c r="H47" s="385"/>
      <c r="I47" s="385"/>
      <c r="J47" s="385"/>
      <c r="K47" s="385"/>
      <c r="L47" s="200" t="s">
        <v>166</v>
      </c>
      <c r="M47" s="201">
        <v>2</v>
      </c>
      <c r="N47" s="202">
        <f>0</f>
        <v>0</v>
      </c>
      <c r="O47" s="291">
        <f>115000*2</f>
        <v>230000</v>
      </c>
      <c r="P47" s="201">
        <v>2</v>
      </c>
      <c r="Q47" s="202">
        <f>120000</f>
        <v>120000</v>
      </c>
      <c r="R47" s="202">
        <f>230000-Q47</f>
        <v>110000</v>
      </c>
    </row>
    <row r="48" spans="2:18" ht="38.25" customHeight="1" x14ac:dyDescent="0.2">
      <c r="B48" s="170"/>
      <c r="C48" s="171"/>
      <c r="D48" s="171"/>
      <c r="E48" s="384" t="s">
        <v>193</v>
      </c>
      <c r="F48" s="385"/>
      <c r="G48" s="385"/>
      <c r="H48" s="385"/>
      <c r="I48" s="385"/>
      <c r="J48" s="385"/>
      <c r="K48" s="385"/>
      <c r="L48" s="200" t="s">
        <v>166</v>
      </c>
      <c r="M48" s="201">
        <v>1</v>
      </c>
      <c r="N48" s="202">
        <f>0</f>
        <v>0</v>
      </c>
      <c r="O48" s="291">
        <f>115000</f>
        <v>115000</v>
      </c>
      <c r="P48" s="201">
        <v>1</v>
      </c>
      <c r="Q48" s="202">
        <f>0</f>
        <v>0</v>
      </c>
      <c r="R48" s="202">
        <f>115000</f>
        <v>115000</v>
      </c>
    </row>
    <row r="49" spans="2:18" ht="44.25" customHeight="1" x14ac:dyDescent="0.2">
      <c r="B49" s="170"/>
      <c r="C49" s="171"/>
      <c r="D49" s="171"/>
      <c r="E49" s="384" t="s">
        <v>194</v>
      </c>
      <c r="F49" s="385"/>
      <c r="G49" s="385"/>
      <c r="H49" s="385"/>
      <c r="I49" s="385"/>
      <c r="J49" s="385"/>
      <c r="K49" s="385"/>
      <c r="L49" s="200" t="s">
        <v>166</v>
      </c>
      <c r="M49" s="201">
        <v>1</v>
      </c>
      <c r="N49" s="202">
        <f>0</f>
        <v>0</v>
      </c>
      <c r="O49" s="291">
        <f>90000</f>
        <v>90000</v>
      </c>
      <c r="P49" s="201">
        <v>0</v>
      </c>
      <c r="Q49" s="202">
        <f>0</f>
        <v>0</v>
      </c>
      <c r="R49" s="202">
        <f>0</f>
        <v>0</v>
      </c>
    </row>
    <row r="50" spans="2:18" ht="39.75" customHeight="1" x14ac:dyDescent="0.2">
      <c r="B50" s="170"/>
      <c r="C50" s="171"/>
      <c r="D50" s="171"/>
      <c r="E50" s="384" t="s">
        <v>195</v>
      </c>
      <c r="F50" s="385"/>
      <c r="G50" s="385"/>
      <c r="H50" s="385"/>
      <c r="I50" s="385"/>
      <c r="J50" s="385"/>
      <c r="K50" s="385"/>
      <c r="L50" s="200" t="s">
        <v>166</v>
      </c>
      <c r="M50" s="201"/>
      <c r="N50" s="202">
        <f>0</f>
        <v>0</v>
      </c>
      <c r="O50" s="202"/>
      <c r="P50" s="201">
        <v>2</v>
      </c>
      <c r="Q50" s="202">
        <f>115000</f>
        <v>115000</v>
      </c>
      <c r="R50" s="202">
        <f>115000</f>
        <v>115000</v>
      </c>
    </row>
    <row r="51" spans="2:18" ht="27.75" customHeight="1" x14ac:dyDescent="0.2">
      <c r="B51" s="170"/>
      <c r="C51" s="171"/>
      <c r="D51" s="171"/>
      <c r="E51" s="397" t="s">
        <v>196</v>
      </c>
      <c r="F51" s="398"/>
      <c r="G51" s="398"/>
      <c r="H51" s="398"/>
      <c r="I51" s="398"/>
      <c r="J51" s="398"/>
      <c r="K51" s="399"/>
      <c r="L51" s="200"/>
      <c r="M51" s="201"/>
      <c r="N51" s="202">
        <f>0</f>
        <v>0</v>
      </c>
      <c r="O51" s="202">
        <f>0</f>
        <v>0</v>
      </c>
      <c r="P51" s="201"/>
      <c r="Q51" s="202">
        <f>0</f>
        <v>0</v>
      </c>
      <c r="R51" s="202">
        <f>0</f>
        <v>0</v>
      </c>
    </row>
    <row r="52" spans="2:18" ht="39" customHeight="1" x14ac:dyDescent="0.2">
      <c r="B52" s="170"/>
      <c r="C52" s="171"/>
      <c r="D52" s="171"/>
      <c r="E52" s="384" t="s">
        <v>197</v>
      </c>
      <c r="F52" s="385"/>
      <c r="G52" s="385"/>
      <c r="H52" s="385"/>
      <c r="I52" s="385"/>
      <c r="J52" s="385"/>
      <c r="K52" s="385"/>
      <c r="L52" s="200" t="s">
        <v>166</v>
      </c>
      <c r="M52" s="201">
        <v>1</v>
      </c>
      <c r="N52" s="202">
        <f>0</f>
        <v>0</v>
      </c>
      <c r="O52" s="291">
        <f>60000</f>
        <v>60000</v>
      </c>
      <c r="P52" s="201">
        <v>0</v>
      </c>
      <c r="Q52" s="202">
        <f>0</f>
        <v>0</v>
      </c>
      <c r="R52" s="202">
        <f>0</f>
        <v>0</v>
      </c>
    </row>
    <row r="53" spans="2:18" ht="40.5" customHeight="1" x14ac:dyDescent="0.2">
      <c r="B53" s="170"/>
      <c r="C53" s="171"/>
      <c r="D53" s="171"/>
      <c r="E53" s="394" t="s">
        <v>198</v>
      </c>
      <c r="F53" s="395"/>
      <c r="G53" s="395"/>
      <c r="H53" s="395"/>
      <c r="I53" s="395"/>
      <c r="J53" s="395"/>
      <c r="K53" s="396"/>
      <c r="L53" s="200" t="s">
        <v>166</v>
      </c>
      <c r="M53" s="201">
        <v>0</v>
      </c>
      <c r="N53" s="202">
        <f>0</f>
        <v>0</v>
      </c>
      <c r="O53" s="202">
        <f>0</f>
        <v>0</v>
      </c>
      <c r="P53" s="201">
        <v>1</v>
      </c>
      <c r="Q53" s="202">
        <f>0</f>
        <v>0</v>
      </c>
      <c r="R53" s="202">
        <f>95000</f>
        <v>95000</v>
      </c>
    </row>
    <row r="54" spans="2:18" ht="19.5" customHeight="1" x14ac:dyDescent="0.2">
      <c r="B54" s="170"/>
      <c r="C54" s="171"/>
      <c r="D54" s="171"/>
      <c r="E54" s="384" t="s">
        <v>199</v>
      </c>
      <c r="F54" s="385"/>
      <c r="G54" s="385"/>
      <c r="H54" s="385"/>
      <c r="I54" s="385"/>
      <c r="J54" s="385"/>
      <c r="K54" s="385"/>
      <c r="L54" s="203" t="s">
        <v>166</v>
      </c>
      <c r="M54" s="201">
        <v>0</v>
      </c>
      <c r="N54" s="202">
        <f>0</f>
        <v>0</v>
      </c>
      <c r="O54" s="202">
        <f>0</f>
        <v>0</v>
      </c>
      <c r="P54" s="246">
        <v>1</v>
      </c>
      <c r="Q54" s="204">
        <f>0</f>
        <v>0</v>
      </c>
      <c r="R54" s="202">
        <f>95000</f>
        <v>95000</v>
      </c>
    </row>
    <row r="55" spans="2:18" ht="27.75" customHeight="1" x14ac:dyDescent="0.2">
      <c r="B55" s="170"/>
      <c r="C55" s="171"/>
      <c r="D55" s="171"/>
      <c r="E55" s="384" t="s">
        <v>200</v>
      </c>
      <c r="F55" s="385"/>
      <c r="G55" s="385"/>
      <c r="H55" s="385"/>
      <c r="I55" s="385"/>
      <c r="J55" s="385"/>
      <c r="K55" s="385"/>
      <c r="L55" s="200" t="s">
        <v>166</v>
      </c>
      <c r="M55" s="201">
        <v>1</v>
      </c>
      <c r="N55" s="202">
        <f>0</f>
        <v>0</v>
      </c>
      <c r="O55" s="291">
        <f>90000</f>
        <v>90000</v>
      </c>
      <c r="P55" s="201">
        <v>0</v>
      </c>
      <c r="Q55" s="202">
        <f>0</f>
        <v>0</v>
      </c>
      <c r="R55" s="202">
        <f>0</f>
        <v>0</v>
      </c>
    </row>
    <row r="56" spans="2:18" ht="17.25" customHeight="1" x14ac:dyDescent="0.2">
      <c r="B56" s="170"/>
      <c r="C56" s="171"/>
      <c r="D56" s="171"/>
      <c r="E56" s="394" t="s">
        <v>201</v>
      </c>
      <c r="F56" s="395"/>
      <c r="G56" s="395"/>
      <c r="H56" s="395"/>
      <c r="I56" s="395"/>
      <c r="J56" s="395"/>
      <c r="K56" s="396"/>
      <c r="L56" s="200" t="s">
        <v>166</v>
      </c>
      <c r="M56" s="201">
        <v>1</v>
      </c>
      <c r="N56" s="202">
        <f>0</f>
        <v>0</v>
      </c>
      <c r="O56" s="291">
        <f>90000</f>
        <v>90000</v>
      </c>
      <c r="P56" s="201">
        <v>0</v>
      </c>
      <c r="Q56" s="202">
        <f>0</f>
        <v>0</v>
      </c>
      <c r="R56" s="202">
        <f>0</f>
        <v>0</v>
      </c>
    </row>
    <row r="57" spans="2:18" ht="30.75" customHeight="1" x14ac:dyDescent="0.2">
      <c r="B57" s="170"/>
      <c r="C57" s="171"/>
      <c r="D57" s="171"/>
      <c r="E57" s="384" t="s">
        <v>202</v>
      </c>
      <c r="F57" s="385"/>
      <c r="G57" s="385"/>
      <c r="H57" s="385"/>
      <c r="I57" s="385"/>
      <c r="J57" s="385"/>
      <c r="K57" s="385"/>
      <c r="L57" s="200" t="s">
        <v>166</v>
      </c>
      <c r="M57" s="201">
        <v>0</v>
      </c>
      <c r="N57" s="202">
        <f>0</f>
        <v>0</v>
      </c>
      <c r="O57" s="202">
        <f>0</f>
        <v>0</v>
      </c>
      <c r="P57" s="201">
        <v>1</v>
      </c>
      <c r="Q57" s="202">
        <f>0</f>
        <v>0</v>
      </c>
      <c r="R57" s="202">
        <f>95000</f>
        <v>95000</v>
      </c>
    </row>
    <row r="58" spans="2:18" ht="27" customHeight="1" x14ac:dyDescent="0.2">
      <c r="B58" s="170"/>
      <c r="C58" s="171"/>
      <c r="D58" s="171"/>
      <c r="E58" s="384" t="s">
        <v>203</v>
      </c>
      <c r="F58" s="385"/>
      <c r="G58" s="385"/>
      <c r="H58" s="385"/>
      <c r="I58" s="385"/>
      <c r="J58" s="385"/>
      <c r="K58" s="385"/>
      <c r="L58" s="200" t="s">
        <v>166</v>
      </c>
      <c r="M58" s="201">
        <v>1</v>
      </c>
      <c r="N58" s="202">
        <f>0</f>
        <v>0</v>
      </c>
      <c r="O58" s="291">
        <f>115000</f>
        <v>115000</v>
      </c>
      <c r="P58" s="201">
        <v>0</v>
      </c>
      <c r="Q58" s="202">
        <f>0</f>
        <v>0</v>
      </c>
      <c r="R58" s="202">
        <f>0</f>
        <v>0</v>
      </c>
    </row>
    <row r="59" spans="2:18" ht="27.75" customHeight="1" x14ac:dyDescent="0.2">
      <c r="B59" s="170"/>
      <c r="C59" s="171"/>
      <c r="D59" s="171"/>
      <c r="E59" s="384" t="s">
        <v>204</v>
      </c>
      <c r="F59" s="385"/>
      <c r="G59" s="385"/>
      <c r="H59" s="385"/>
      <c r="I59" s="385"/>
      <c r="J59" s="385"/>
      <c r="K59" s="385"/>
      <c r="L59" s="200" t="s">
        <v>166</v>
      </c>
      <c r="M59" s="201">
        <v>1</v>
      </c>
      <c r="N59" s="202">
        <f>0</f>
        <v>0</v>
      </c>
      <c r="O59" s="291">
        <f>115000</f>
        <v>115000</v>
      </c>
      <c r="P59" s="201">
        <f>0</f>
        <v>0</v>
      </c>
      <c r="Q59" s="202">
        <f>0</f>
        <v>0</v>
      </c>
      <c r="R59" s="202">
        <f>0</f>
        <v>0</v>
      </c>
    </row>
    <row r="60" spans="2:18" ht="30.75" customHeight="1" x14ac:dyDescent="0.2">
      <c r="B60" s="170"/>
      <c r="C60" s="171"/>
      <c r="D60" s="171"/>
      <c r="E60" s="384" t="s">
        <v>205</v>
      </c>
      <c r="F60" s="385"/>
      <c r="G60" s="385"/>
      <c r="H60" s="385"/>
      <c r="I60" s="385"/>
      <c r="J60" s="385"/>
      <c r="K60" s="385"/>
      <c r="L60" s="200" t="s">
        <v>166</v>
      </c>
      <c r="M60" s="201">
        <v>1</v>
      </c>
      <c r="N60" s="202">
        <f>0</f>
        <v>0</v>
      </c>
      <c r="O60" s="291">
        <f>115000</f>
        <v>115000</v>
      </c>
      <c r="P60" s="201">
        <v>0</v>
      </c>
      <c r="Q60" s="202">
        <f>0</f>
        <v>0</v>
      </c>
      <c r="R60" s="202">
        <f>0</f>
        <v>0</v>
      </c>
    </row>
    <row r="61" spans="2:18" ht="28.5" customHeight="1" x14ac:dyDescent="0.2">
      <c r="B61" s="170"/>
      <c r="C61" s="171"/>
      <c r="D61" s="171"/>
      <c r="E61" s="384" t="s">
        <v>206</v>
      </c>
      <c r="F61" s="385"/>
      <c r="G61" s="385"/>
      <c r="H61" s="385"/>
      <c r="I61" s="385"/>
      <c r="J61" s="385"/>
      <c r="K61" s="400"/>
      <c r="L61" s="200" t="s">
        <v>166</v>
      </c>
      <c r="M61" s="201">
        <v>1</v>
      </c>
      <c r="N61" s="202">
        <f>0</f>
        <v>0</v>
      </c>
      <c r="O61" s="291">
        <f>60000</f>
        <v>60000</v>
      </c>
      <c r="P61" s="201">
        <v>0</v>
      </c>
      <c r="Q61" s="202">
        <f>0</f>
        <v>0</v>
      </c>
      <c r="R61" s="202">
        <f>0</f>
        <v>0</v>
      </c>
    </row>
    <row r="62" spans="2:18" ht="26.25" customHeight="1" x14ac:dyDescent="0.2">
      <c r="B62" s="170"/>
      <c r="C62" s="171"/>
      <c r="D62" s="171"/>
      <c r="E62" s="384" t="s">
        <v>207</v>
      </c>
      <c r="F62" s="385"/>
      <c r="G62" s="385"/>
      <c r="H62" s="385"/>
      <c r="I62" s="385"/>
      <c r="J62" s="385"/>
      <c r="K62" s="400"/>
      <c r="L62" s="200" t="s">
        <v>166</v>
      </c>
      <c r="M62" s="201">
        <v>0</v>
      </c>
      <c r="N62" s="202">
        <f>0</f>
        <v>0</v>
      </c>
      <c r="O62" s="202">
        <f>0</f>
        <v>0</v>
      </c>
      <c r="P62" s="201">
        <v>1</v>
      </c>
      <c r="Q62" s="202">
        <f>0</f>
        <v>0</v>
      </c>
      <c r="R62" s="202">
        <f>70000</f>
        <v>70000</v>
      </c>
    </row>
    <row r="63" spans="2:18" ht="17.25" customHeight="1" x14ac:dyDescent="0.2">
      <c r="B63" s="170"/>
      <c r="C63" s="171"/>
      <c r="D63" s="171"/>
      <c r="E63" s="384" t="s">
        <v>208</v>
      </c>
      <c r="F63" s="385"/>
      <c r="G63" s="385"/>
      <c r="H63" s="385"/>
      <c r="I63" s="385"/>
      <c r="J63" s="385"/>
      <c r="K63" s="400"/>
      <c r="L63" s="200" t="s">
        <v>166</v>
      </c>
      <c r="M63" s="201">
        <v>0</v>
      </c>
      <c r="N63" s="202">
        <f>0</f>
        <v>0</v>
      </c>
      <c r="O63" s="202">
        <f>0</f>
        <v>0</v>
      </c>
      <c r="P63" s="201">
        <v>1</v>
      </c>
      <c r="Q63" s="202">
        <f>0</f>
        <v>0</v>
      </c>
      <c r="R63" s="202">
        <f>70000</f>
        <v>70000</v>
      </c>
    </row>
    <row r="64" spans="2:18" ht="25.5" customHeight="1" x14ac:dyDescent="0.2">
      <c r="B64" s="170"/>
      <c r="C64" s="171"/>
      <c r="D64" s="171"/>
      <c r="E64" s="384" t="s">
        <v>209</v>
      </c>
      <c r="F64" s="385"/>
      <c r="G64" s="385"/>
      <c r="H64" s="385"/>
      <c r="I64" s="385"/>
      <c r="J64" s="385"/>
      <c r="K64" s="400"/>
      <c r="L64" s="200" t="s">
        <v>166</v>
      </c>
      <c r="M64" s="201">
        <v>1</v>
      </c>
      <c r="N64" s="202">
        <f>0</f>
        <v>0</v>
      </c>
      <c r="O64" s="291">
        <f>60000</f>
        <v>60000</v>
      </c>
      <c r="P64" s="201">
        <v>0</v>
      </c>
      <c r="Q64" s="202">
        <f>0</f>
        <v>0</v>
      </c>
      <c r="R64" s="202">
        <f>0</f>
        <v>0</v>
      </c>
    </row>
    <row r="65" spans="2:18" ht="40.5" customHeight="1" x14ac:dyDescent="0.2">
      <c r="B65" s="170"/>
      <c r="C65" s="171"/>
      <c r="D65" s="171"/>
      <c r="E65" s="384" t="s">
        <v>210</v>
      </c>
      <c r="F65" s="385"/>
      <c r="G65" s="385"/>
      <c r="H65" s="385"/>
      <c r="I65" s="385"/>
      <c r="J65" s="385"/>
      <c r="K65" s="385"/>
      <c r="L65" s="200" t="s">
        <v>166</v>
      </c>
      <c r="M65" s="201">
        <v>0</v>
      </c>
      <c r="N65" s="202">
        <f>0</f>
        <v>0</v>
      </c>
      <c r="O65" s="202">
        <f>0</f>
        <v>0</v>
      </c>
      <c r="P65" s="201">
        <v>1</v>
      </c>
      <c r="Q65" s="202">
        <f>0</f>
        <v>0</v>
      </c>
      <c r="R65" s="202">
        <f>95000</f>
        <v>95000</v>
      </c>
    </row>
    <row r="66" spans="2:18" ht="15.75" customHeight="1" x14ac:dyDescent="0.2">
      <c r="B66" s="170"/>
      <c r="C66" s="171"/>
      <c r="D66" s="171"/>
      <c r="E66" s="384" t="s">
        <v>211</v>
      </c>
      <c r="F66" s="385"/>
      <c r="G66" s="385"/>
      <c r="H66" s="385"/>
      <c r="I66" s="385"/>
      <c r="J66" s="385"/>
      <c r="K66" s="385"/>
      <c r="L66" s="200" t="s">
        <v>166</v>
      </c>
      <c r="M66" s="201">
        <v>0</v>
      </c>
      <c r="N66" s="202">
        <f>0</f>
        <v>0</v>
      </c>
      <c r="O66" s="202">
        <f>0</f>
        <v>0</v>
      </c>
      <c r="P66" s="201">
        <v>1</v>
      </c>
      <c r="Q66" s="202">
        <f>0</f>
        <v>0</v>
      </c>
      <c r="R66" s="202">
        <f>95000</f>
        <v>95000</v>
      </c>
    </row>
    <row r="67" spans="2:18" ht="17.25" customHeight="1" x14ac:dyDescent="0.2">
      <c r="B67" s="170"/>
      <c r="C67" s="171"/>
      <c r="D67" s="171"/>
      <c r="E67" s="384" t="s">
        <v>212</v>
      </c>
      <c r="F67" s="385"/>
      <c r="G67" s="385"/>
      <c r="H67" s="385"/>
      <c r="I67" s="385"/>
      <c r="J67" s="385"/>
      <c r="K67" s="385"/>
      <c r="L67" s="200" t="s">
        <v>166</v>
      </c>
      <c r="M67" s="201">
        <v>1</v>
      </c>
      <c r="N67" s="202">
        <f>0</f>
        <v>0</v>
      </c>
      <c r="O67" s="291">
        <f>90000</f>
        <v>90000</v>
      </c>
      <c r="P67" s="201">
        <v>0</v>
      </c>
      <c r="Q67" s="202">
        <f>0</f>
        <v>0</v>
      </c>
      <c r="R67" s="202">
        <f>0</f>
        <v>0</v>
      </c>
    </row>
    <row r="68" spans="2:18" ht="18" customHeight="1" x14ac:dyDescent="0.2">
      <c r="B68" s="170"/>
      <c r="C68" s="171"/>
      <c r="D68" s="171"/>
      <c r="E68" s="384" t="s">
        <v>213</v>
      </c>
      <c r="F68" s="385"/>
      <c r="G68" s="385"/>
      <c r="H68" s="385"/>
      <c r="I68" s="385"/>
      <c r="J68" s="385"/>
      <c r="K68" s="400"/>
      <c r="L68" s="200" t="s">
        <v>166</v>
      </c>
      <c r="M68" s="201">
        <v>1</v>
      </c>
      <c r="N68" s="202">
        <f>0</f>
        <v>0</v>
      </c>
      <c r="O68" s="291">
        <f>115000</f>
        <v>115000</v>
      </c>
      <c r="P68" s="201">
        <v>0</v>
      </c>
      <c r="Q68" s="202">
        <f>0</f>
        <v>0</v>
      </c>
      <c r="R68" s="202">
        <f>0</f>
        <v>0</v>
      </c>
    </row>
    <row r="69" spans="2:18" ht="18.75" customHeight="1" x14ac:dyDescent="0.2">
      <c r="B69" s="170"/>
      <c r="C69" s="171"/>
      <c r="D69" s="171"/>
      <c r="E69" s="384" t="s">
        <v>214</v>
      </c>
      <c r="F69" s="385"/>
      <c r="G69" s="385"/>
      <c r="H69" s="385"/>
      <c r="I69" s="385"/>
      <c r="J69" s="385"/>
      <c r="K69" s="400"/>
      <c r="L69" s="200" t="s">
        <v>166</v>
      </c>
      <c r="M69" s="200">
        <v>1</v>
      </c>
      <c r="N69" s="205">
        <f>0</f>
        <v>0</v>
      </c>
      <c r="O69" s="291">
        <f>115000</f>
        <v>115000</v>
      </c>
      <c r="P69" s="201">
        <v>0</v>
      </c>
      <c r="Q69" s="205">
        <f>0</f>
        <v>0</v>
      </c>
      <c r="R69" s="205">
        <f>0</f>
        <v>0</v>
      </c>
    </row>
    <row r="70" spans="2:18" ht="18" customHeight="1" x14ac:dyDescent="0.2">
      <c r="B70" s="170"/>
      <c r="C70" s="171"/>
      <c r="D70" s="171"/>
      <c r="E70" s="384" t="s">
        <v>215</v>
      </c>
      <c r="F70" s="385"/>
      <c r="G70" s="385"/>
      <c r="H70" s="385"/>
      <c r="I70" s="385"/>
      <c r="J70" s="385"/>
      <c r="K70" s="400"/>
      <c r="L70" s="200" t="s">
        <v>166</v>
      </c>
      <c r="M70" s="200">
        <v>1</v>
      </c>
      <c r="N70" s="205">
        <f>0</f>
        <v>0</v>
      </c>
      <c r="O70" s="291">
        <f>90000</f>
        <v>90000</v>
      </c>
      <c r="P70" s="201">
        <v>0</v>
      </c>
      <c r="Q70" s="205">
        <f>0</f>
        <v>0</v>
      </c>
      <c r="R70" s="205">
        <f>0</f>
        <v>0</v>
      </c>
    </row>
    <row r="71" spans="2:18" ht="16.5" customHeight="1" x14ac:dyDescent="0.2">
      <c r="B71" s="170"/>
      <c r="C71" s="171"/>
      <c r="D71" s="171"/>
      <c r="E71" s="384" t="s">
        <v>216</v>
      </c>
      <c r="F71" s="385"/>
      <c r="G71" s="385"/>
      <c r="H71" s="385"/>
      <c r="I71" s="385"/>
      <c r="J71" s="385"/>
      <c r="K71" s="400"/>
      <c r="L71" s="200" t="s">
        <v>166</v>
      </c>
      <c r="M71" s="200">
        <v>0</v>
      </c>
      <c r="N71" s="205">
        <f>0</f>
        <v>0</v>
      </c>
      <c r="O71" s="202">
        <f>0</f>
        <v>0</v>
      </c>
      <c r="P71" s="201">
        <v>1</v>
      </c>
      <c r="Q71" s="205">
        <f>0</f>
        <v>0</v>
      </c>
      <c r="R71" s="205">
        <f>115000</f>
        <v>115000</v>
      </c>
    </row>
    <row r="72" spans="2:18" ht="28.5" customHeight="1" x14ac:dyDescent="0.2">
      <c r="B72" s="170"/>
      <c r="C72" s="171"/>
      <c r="D72" s="171"/>
      <c r="E72" s="384" t="s">
        <v>217</v>
      </c>
      <c r="F72" s="385"/>
      <c r="G72" s="385"/>
      <c r="H72" s="385"/>
      <c r="I72" s="385"/>
      <c r="J72" s="385"/>
      <c r="K72" s="385"/>
      <c r="L72" s="200" t="s">
        <v>166</v>
      </c>
      <c r="M72" s="200">
        <v>1</v>
      </c>
      <c r="N72" s="205">
        <f>0</f>
        <v>0</v>
      </c>
      <c r="O72" s="291">
        <f>115000</f>
        <v>115000</v>
      </c>
      <c r="P72" s="201">
        <f>0</f>
        <v>0</v>
      </c>
      <c r="Q72" s="205">
        <f>0</f>
        <v>0</v>
      </c>
      <c r="R72" s="205">
        <f>0</f>
        <v>0</v>
      </c>
    </row>
    <row r="73" spans="2:18" ht="18" customHeight="1" x14ac:dyDescent="0.2">
      <c r="B73" s="170"/>
      <c r="C73" s="171"/>
      <c r="D73" s="171"/>
      <c r="E73" s="401" t="s">
        <v>261</v>
      </c>
      <c r="F73" s="402"/>
      <c r="G73" s="402"/>
      <c r="H73" s="402"/>
      <c r="I73" s="402"/>
      <c r="J73" s="402"/>
      <c r="K73" s="403"/>
      <c r="L73" s="258" t="s">
        <v>164</v>
      </c>
      <c r="M73" s="258">
        <v>1</v>
      </c>
      <c r="N73" s="259"/>
      <c r="O73" s="259">
        <f>75000</f>
        <v>75000</v>
      </c>
      <c r="P73" s="258">
        <v>0</v>
      </c>
      <c r="Q73" s="259">
        <v>0</v>
      </c>
      <c r="R73" s="259">
        <v>0</v>
      </c>
    </row>
    <row r="74" spans="2:18" ht="18" customHeight="1" x14ac:dyDescent="0.2">
      <c r="B74" s="170"/>
      <c r="C74" s="171"/>
      <c r="D74" s="171"/>
      <c r="E74" s="401" t="s">
        <v>262</v>
      </c>
      <c r="F74" s="402"/>
      <c r="G74" s="402"/>
      <c r="H74" s="402"/>
      <c r="I74" s="402"/>
      <c r="J74" s="402"/>
      <c r="K74" s="403"/>
      <c r="L74" s="258" t="s">
        <v>164</v>
      </c>
      <c r="M74" s="258">
        <v>1</v>
      </c>
      <c r="N74" s="259"/>
      <c r="O74" s="259">
        <f>90000</f>
        <v>90000</v>
      </c>
      <c r="P74" s="258">
        <v>0</v>
      </c>
      <c r="Q74" s="259">
        <v>0</v>
      </c>
      <c r="R74" s="259">
        <v>0</v>
      </c>
    </row>
    <row r="75" spans="2:18" ht="18" customHeight="1" x14ac:dyDescent="0.2">
      <c r="B75" s="170"/>
      <c r="C75" s="171"/>
      <c r="D75" s="171"/>
      <c r="E75" s="401" t="s">
        <v>263</v>
      </c>
      <c r="F75" s="402"/>
      <c r="G75" s="402"/>
      <c r="H75" s="402"/>
      <c r="I75" s="402"/>
      <c r="J75" s="402"/>
      <c r="K75" s="403"/>
      <c r="L75" s="258" t="s">
        <v>164</v>
      </c>
      <c r="M75" s="258">
        <v>1</v>
      </c>
      <c r="N75" s="259"/>
      <c r="O75" s="259">
        <f>90000</f>
        <v>90000</v>
      </c>
      <c r="P75" s="258">
        <v>0</v>
      </c>
      <c r="Q75" s="259">
        <v>0</v>
      </c>
      <c r="R75" s="259">
        <v>0</v>
      </c>
    </row>
    <row r="76" spans="2:18" ht="41.25" customHeight="1" x14ac:dyDescent="0.2">
      <c r="B76" s="170"/>
      <c r="C76" s="171"/>
      <c r="D76" s="171"/>
      <c r="E76" s="386" t="s">
        <v>218</v>
      </c>
      <c r="F76" s="387"/>
      <c r="G76" s="387"/>
      <c r="H76" s="387"/>
      <c r="I76" s="387"/>
      <c r="J76" s="387"/>
      <c r="K76" s="387"/>
      <c r="L76" s="186" t="s">
        <v>166</v>
      </c>
      <c r="M76" s="186">
        <v>1</v>
      </c>
      <c r="N76" s="187">
        <f>0</f>
        <v>0</v>
      </c>
      <c r="O76" s="287">
        <f>90000</f>
        <v>90000</v>
      </c>
      <c r="P76" s="247">
        <v>0</v>
      </c>
      <c r="Q76" s="187">
        <f>0</f>
        <v>0</v>
      </c>
      <c r="R76" s="187">
        <f>0</f>
        <v>0</v>
      </c>
    </row>
    <row r="77" spans="2:18" x14ac:dyDescent="0.2">
      <c r="B77" s="170"/>
      <c r="C77" s="171"/>
      <c r="D77" s="171"/>
      <c r="E77" s="171"/>
      <c r="F77" s="171"/>
      <c r="G77" s="171"/>
      <c r="H77" s="171"/>
      <c r="I77" s="171"/>
      <c r="J77" s="171"/>
      <c r="K77" s="171"/>
      <c r="L77" s="172"/>
      <c r="M77" s="172"/>
      <c r="N77" s="177"/>
      <c r="O77" s="177"/>
      <c r="P77" s="172"/>
      <c r="Q77" s="177"/>
      <c r="R77" s="177"/>
    </row>
    <row r="78" spans="2:18" x14ac:dyDescent="0.2">
      <c r="B78" s="170"/>
      <c r="C78" s="173" t="s">
        <v>219</v>
      </c>
      <c r="D78" s="174"/>
      <c r="E78" s="175"/>
      <c r="F78" s="175"/>
      <c r="G78" s="175"/>
      <c r="H78" s="175"/>
      <c r="I78" s="176"/>
      <c r="J78" s="171"/>
      <c r="K78" s="171"/>
      <c r="L78" s="172"/>
      <c r="M78" s="172"/>
      <c r="N78" s="177"/>
      <c r="O78" s="177"/>
      <c r="P78" s="172"/>
      <c r="Q78" s="177"/>
      <c r="R78" s="177"/>
    </row>
    <row r="79" spans="2:18" ht="24.75" customHeight="1" x14ac:dyDescent="0.2">
      <c r="B79" s="170"/>
      <c r="C79" s="171"/>
      <c r="D79" s="171"/>
      <c r="E79" s="389" t="s">
        <v>220</v>
      </c>
      <c r="F79" s="390"/>
      <c r="G79" s="390"/>
      <c r="H79" s="390"/>
      <c r="I79" s="390"/>
      <c r="J79" s="390"/>
      <c r="K79" s="390"/>
      <c r="L79" s="184" t="s">
        <v>166</v>
      </c>
      <c r="M79" s="184">
        <v>2</v>
      </c>
      <c r="N79" s="185">
        <f>0</f>
        <v>0</v>
      </c>
      <c r="O79" s="289">
        <f>30000</f>
        <v>30000</v>
      </c>
      <c r="P79" s="244">
        <v>2</v>
      </c>
      <c r="Q79" s="185">
        <f>0</f>
        <v>0</v>
      </c>
      <c r="R79" s="185">
        <f>30000</f>
        <v>30000</v>
      </c>
    </row>
    <row r="80" spans="2:18" x14ac:dyDescent="0.2">
      <c r="B80" s="170"/>
      <c r="C80" s="171"/>
      <c r="D80" s="171"/>
      <c r="E80" s="171"/>
      <c r="F80" s="171"/>
      <c r="G80" s="171"/>
      <c r="H80" s="171"/>
      <c r="I80" s="171"/>
      <c r="J80" s="171"/>
      <c r="K80" s="171"/>
      <c r="L80" s="172"/>
      <c r="M80" s="172"/>
      <c r="N80" s="177"/>
      <c r="O80" s="177"/>
      <c r="P80" s="172"/>
      <c r="Q80" s="177"/>
      <c r="R80" s="177"/>
    </row>
    <row r="81" spans="2:18" x14ac:dyDescent="0.2">
      <c r="B81" s="170"/>
      <c r="C81" s="171"/>
      <c r="D81" s="171"/>
      <c r="E81" s="171"/>
      <c r="F81" s="171"/>
      <c r="G81" s="171"/>
      <c r="H81" s="171"/>
      <c r="I81" s="171"/>
      <c r="J81" s="171"/>
      <c r="K81" s="171"/>
      <c r="L81" s="172"/>
      <c r="M81" s="172"/>
      <c r="N81" s="177"/>
      <c r="O81" s="177"/>
      <c r="P81" s="172"/>
      <c r="Q81" s="177"/>
      <c r="R81" s="177"/>
    </row>
    <row r="82" spans="2:18" x14ac:dyDescent="0.2">
      <c r="B82" s="170"/>
      <c r="C82" s="173" t="s">
        <v>221</v>
      </c>
      <c r="D82" s="174"/>
      <c r="E82" s="175"/>
      <c r="F82" s="175"/>
      <c r="G82" s="175"/>
      <c r="H82" s="175"/>
      <c r="I82" s="176"/>
      <c r="J82" s="171"/>
      <c r="K82" s="171"/>
      <c r="L82" s="172"/>
      <c r="M82" s="172"/>
      <c r="N82" s="177"/>
      <c r="O82" s="177"/>
      <c r="P82" s="172"/>
      <c r="Q82" s="177"/>
      <c r="R82" s="177"/>
    </row>
    <row r="83" spans="2:18" ht="24.75" customHeight="1" x14ac:dyDescent="0.2">
      <c r="B83" s="170"/>
      <c r="C83" s="171"/>
      <c r="D83" s="171"/>
      <c r="E83" s="389" t="s">
        <v>222</v>
      </c>
      <c r="F83" s="390"/>
      <c r="G83" s="390"/>
      <c r="H83" s="390"/>
      <c r="I83" s="390"/>
      <c r="J83" s="390"/>
      <c r="K83" s="390"/>
      <c r="L83" s="184" t="s">
        <v>166</v>
      </c>
      <c r="M83" s="184">
        <v>2</v>
      </c>
      <c r="N83" s="185">
        <f>0</f>
        <v>0</v>
      </c>
      <c r="O83" s="289">
        <f>5000</f>
        <v>5000</v>
      </c>
      <c r="P83" s="244">
        <v>2</v>
      </c>
      <c r="Q83" s="185">
        <f>0</f>
        <v>0</v>
      </c>
      <c r="R83" s="185">
        <f>5000</f>
        <v>5000</v>
      </c>
    </row>
    <row r="84" spans="2:18" x14ac:dyDescent="0.2">
      <c r="B84" s="170"/>
      <c r="C84" s="171"/>
      <c r="D84" s="171"/>
      <c r="E84" s="171"/>
      <c r="F84" s="171"/>
      <c r="G84" s="171"/>
      <c r="H84" s="171"/>
      <c r="I84" s="171"/>
      <c r="J84" s="171"/>
      <c r="K84" s="171"/>
      <c r="L84" s="172"/>
      <c r="M84" s="172"/>
      <c r="N84" s="177"/>
      <c r="O84" s="177"/>
      <c r="P84" s="172"/>
      <c r="Q84" s="177"/>
      <c r="R84" s="177"/>
    </row>
    <row r="85" spans="2:18" x14ac:dyDescent="0.2">
      <c r="B85" s="170"/>
      <c r="C85" s="171"/>
      <c r="D85" s="171"/>
      <c r="E85" s="171"/>
      <c r="F85" s="171"/>
      <c r="G85" s="171"/>
      <c r="H85" s="171"/>
      <c r="I85" s="171"/>
      <c r="J85" s="206" t="s">
        <v>223</v>
      </c>
      <c r="K85" s="207"/>
      <c r="L85" s="208"/>
      <c r="M85" s="208">
        <f>SUM(M83,M79,M52:M76,M39:M50,M36,M31,M28,M25,M22,M18:M19,M11:M13,M6:M8)</f>
        <v>55</v>
      </c>
      <c r="N85" s="209">
        <f t="shared" ref="N85:O85" si="0">SUM(N83,N79,N52:N76,N39:N50,N36,N31,N28,N25,N22,N18:N19,N11:N13,N6:N8)</f>
        <v>285000</v>
      </c>
      <c r="O85" s="209">
        <f t="shared" si="0"/>
        <v>3365000</v>
      </c>
      <c r="P85" s="208">
        <f>SUM(P83,P79,P52:P76,P39:P50,P36,P31,P28,P25,P22,P18:P19,P11:P13,P6:P8)</f>
        <v>32</v>
      </c>
      <c r="Q85" s="209">
        <f t="shared" ref="Q85:R85" si="1">SUM(Q83,Q79,Q52:Q76,Q39:Q50,Q36,Q31,Q28,Q25,Q22,Q18:Q19,Q11:Q13,Q6:Q8)</f>
        <v>285000</v>
      </c>
      <c r="R85" s="209">
        <f t="shared" si="1"/>
        <v>1868400</v>
      </c>
    </row>
    <row r="86" spans="2:18" x14ac:dyDescent="0.2">
      <c r="B86" s="170"/>
      <c r="C86" s="171"/>
      <c r="D86" s="171"/>
      <c r="E86" s="171"/>
      <c r="F86" s="171"/>
      <c r="G86" s="171"/>
      <c r="H86" s="171"/>
      <c r="I86" s="171"/>
      <c r="J86" s="171"/>
      <c r="K86" s="171"/>
      <c r="L86" s="172"/>
      <c r="M86" s="172"/>
      <c r="N86" s="177"/>
      <c r="O86" s="177"/>
      <c r="P86" s="172"/>
      <c r="Q86" s="177"/>
      <c r="R86" s="177"/>
    </row>
    <row r="87" spans="2:18" x14ac:dyDescent="0.2">
      <c r="B87" s="191"/>
      <c r="C87" s="192"/>
      <c r="D87" s="192"/>
      <c r="E87" s="192"/>
      <c r="F87" s="192"/>
      <c r="G87" s="192"/>
      <c r="H87" s="192"/>
      <c r="I87" s="192"/>
      <c r="J87" s="206" t="s">
        <v>224</v>
      </c>
      <c r="K87" s="207"/>
      <c r="L87" s="210"/>
      <c r="M87" s="208">
        <f>M85-M13-M12-M11-M6</f>
        <v>48</v>
      </c>
      <c r="N87" s="209">
        <f t="shared" ref="N87:O87" si="2">N85-N13-N12-N11-N6</f>
        <v>235000</v>
      </c>
      <c r="O87" s="209">
        <f t="shared" si="2"/>
        <v>3281000</v>
      </c>
      <c r="P87" s="208">
        <f>P85-P13-P12-P11-P6</f>
        <v>27</v>
      </c>
      <c r="Q87" s="209">
        <f t="shared" ref="Q87:R87" si="3">Q85-Q13-Q12-Q11-Q6</f>
        <v>235000</v>
      </c>
      <c r="R87" s="209">
        <f t="shared" si="3"/>
        <v>1784400</v>
      </c>
    </row>
  </sheetData>
  <mergeCells count="49">
    <mergeCell ref="E72:K72"/>
    <mergeCell ref="E76:K76"/>
    <mergeCell ref="E79:K79"/>
    <mergeCell ref="E83:K83"/>
    <mergeCell ref="E66:K66"/>
    <mergeCell ref="E67:K67"/>
    <mergeCell ref="E68:K68"/>
    <mergeCell ref="E69:K69"/>
    <mergeCell ref="E70:K70"/>
    <mergeCell ref="E71:K71"/>
    <mergeCell ref="E73:K73"/>
    <mergeCell ref="E74:K74"/>
    <mergeCell ref="E75:K75"/>
    <mergeCell ref="E65:K65"/>
    <mergeCell ref="E54:K54"/>
    <mergeCell ref="E55:K55"/>
    <mergeCell ref="E56:K56"/>
    <mergeCell ref="E57:K57"/>
    <mergeCell ref="E58:K58"/>
    <mergeCell ref="E59:K59"/>
    <mergeCell ref="E60:K60"/>
    <mergeCell ref="E61:K61"/>
    <mergeCell ref="E62:K62"/>
    <mergeCell ref="E63:K63"/>
    <mergeCell ref="E64:K64"/>
    <mergeCell ref="E53:K53"/>
    <mergeCell ref="E42:K42"/>
    <mergeCell ref="E43:K43"/>
    <mergeCell ref="E44:K44"/>
    <mergeCell ref="E45:K45"/>
    <mergeCell ref="E46:K46"/>
    <mergeCell ref="E47:K47"/>
    <mergeCell ref="E48:K48"/>
    <mergeCell ref="E49:K49"/>
    <mergeCell ref="E50:K50"/>
    <mergeCell ref="E51:K51"/>
    <mergeCell ref="E52:K52"/>
    <mergeCell ref="E41:K41"/>
    <mergeCell ref="E8:K8"/>
    <mergeCell ref="E11:K11"/>
    <mergeCell ref="E12:K12"/>
    <mergeCell ref="E13:K13"/>
    <mergeCell ref="E22:K22"/>
    <mergeCell ref="E25:K25"/>
    <mergeCell ref="E28:K28"/>
    <mergeCell ref="E31:K31"/>
    <mergeCell ref="E36:K36"/>
    <mergeCell ref="E39:K39"/>
    <mergeCell ref="E40:K4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9"/>
  <sheetViews>
    <sheetView workbookViewId="0">
      <selection activeCell="M3" sqref="M3"/>
    </sheetView>
  </sheetViews>
  <sheetFormatPr defaultRowHeight="12.75" x14ac:dyDescent="0.2"/>
  <cols>
    <col min="2" max="2" width="10.5703125" customWidth="1"/>
    <col min="3" max="14" width="12.5703125" customWidth="1"/>
  </cols>
  <sheetData>
    <row r="2" spans="2:15" x14ac:dyDescent="0.2">
      <c r="B2" s="28" t="s">
        <v>23</v>
      </c>
      <c r="C2" s="28" t="s">
        <v>114</v>
      </c>
      <c r="D2" s="28" t="s">
        <v>115</v>
      </c>
      <c r="E2" s="28" t="s">
        <v>116</v>
      </c>
      <c r="F2" s="28" t="s">
        <v>117</v>
      </c>
      <c r="G2" s="28" t="s">
        <v>118</v>
      </c>
      <c r="H2" s="28" t="s">
        <v>119</v>
      </c>
      <c r="I2" s="28" t="s">
        <v>120</v>
      </c>
      <c r="J2" s="28" t="s">
        <v>121</v>
      </c>
      <c r="K2" s="28" t="s">
        <v>122</v>
      </c>
      <c r="L2" s="28" t="s">
        <v>123</v>
      </c>
      <c r="M2" s="28" t="s">
        <v>124</v>
      </c>
      <c r="N2" s="28" t="s">
        <v>125</v>
      </c>
    </row>
    <row r="3" spans="2:15" x14ac:dyDescent="0.2">
      <c r="B3" s="105"/>
      <c r="C3" s="151">
        <f>1388523</f>
        <v>1388523</v>
      </c>
      <c r="D3" s="151">
        <f>589991</f>
        <v>589991</v>
      </c>
      <c r="E3" s="151">
        <f>833951</f>
        <v>833951</v>
      </c>
      <c r="F3" s="151">
        <f>1014308</f>
        <v>1014308</v>
      </c>
      <c r="G3" s="151">
        <f>1216553</f>
        <v>1216553</v>
      </c>
      <c r="H3" s="105"/>
      <c r="I3" s="105"/>
      <c r="J3" s="105"/>
      <c r="K3" s="105"/>
      <c r="L3" s="105"/>
      <c r="M3" s="151">
        <f>1890486</f>
        <v>1890486</v>
      </c>
      <c r="N3" s="105"/>
    </row>
    <row r="6" spans="2:15" x14ac:dyDescent="0.2">
      <c r="B6" s="28" t="s">
        <v>24</v>
      </c>
      <c r="C6" s="28" t="s">
        <v>114</v>
      </c>
      <c r="D6" s="28" t="s">
        <v>115</v>
      </c>
      <c r="E6" s="28" t="s">
        <v>116</v>
      </c>
      <c r="F6" s="28" t="s">
        <v>117</v>
      </c>
      <c r="G6" s="28" t="s">
        <v>118</v>
      </c>
      <c r="H6" s="28" t="s">
        <v>119</v>
      </c>
      <c r="I6" s="28" t="s">
        <v>120</v>
      </c>
      <c r="J6" s="28" t="s">
        <v>121</v>
      </c>
      <c r="K6" s="28" t="s">
        <v>122</v>
      </c>
      <c r="L6" s="28" t="s">
        <v>123</v>
      </c>
      <c r="M6" s="28" t="s">
        <v>124</v>
      </c>
      <c r="N6" s="28" t="s">
        <v>125</v>
      </c>
    </row>
    <row r="7" spans="2:15" x14ac:dyDescent="0.2">
      <c r="B7" s="105"/>
      <c r="C7" s="151">
        <f>272349</f>
        <v>272349</v>
      </c>
      <c r="D7" s="151">
        <f>274357</f>
        <v>274357</v>
      </c>
      <c r="E7" s="151">
        <f>265658</f>
        <v>265658</v>
      </c>
      <c r="F7" s="151">
        <f>355441</f>
        <v>355441</v>
      </c>
      <c r="G7" s="151">
        <f>365129</f>
        <v>365129</v>
      </c>
      <c r="H7" s="152">
        <f>AVERAGE(G7,I7)</f>
        <v>339048</v>
      </c>
      <c r="I7" s="151">
        <f>312967</f>
        <v>312967</v>
      </c>
      <c r="J7" s="151">
        <f>290613</f>
        <v>290613</v>
      </c>
      <c r="K7" s="151">
        <f>317439</f>
        <v>317439</v>
      </c>
      <c r="L7" s="151">
        <f>327870</f>
        <v>327870</v>
      </c>
      <c r="M7" s="151"/>
      <c r="N7" s="151"/>
    </row>
    <row r="10" spans="2:15" x14ac:dyDescent="0.2">
      <c r="B10" s="28" t="s">
        <v>126</v>
      </c>
      <c r="C10" s="28" t="s">
        <v>114</v>
      </c>
      <c r="D10" s="28" t="s">
        <v>115</v>
      </c>
      <c r="E10" s="28" t="s">
        <v>116</v>
      </c>
      <c r="F10" s="28" t="s">
        <v>117</v>
      </c>
      <c r="G10" s="28" t="s">
        <v>118</v>
      </c>
      <c r="H10" s="28" t="s">
        <v>119</v>
      </c>
      <c r="I10" s="28" t="s">
        <v>120</v>
      </c>
      <c r="J10" s="28" t="s">
        <v>121</v>
      </c>
      <c r="K10" s="28" t="s">
        <v>122</v>
      </c>
      <c r="L10" s="28" t="s">
        <v>123</v>
      </c>
      <c r="M10" s="28" t="s">
        <v>124</v>
      </c>
      <c r="N10" s="28" t="s">
        <v>125</v>
      </c>
    </row>
    <row r="11" spans="2:15" x14ac:dyDescent="0.2">
      <c r="C11" s="150">
        <v>451056</v>
      </c>
      <c r="D11" s="150">
        <v>451056</v>
      </c>
      <c r="E11" s="150">
        <v>451056</v>
      </c>
      <c r="F11" s="150">
        <v>451056</v>
      </c>
      <c r="G11" s="150">
        <v>451056</v>
      </c>
      <c r="H11" s="150">
        <v>451056</v>
      </c>
      <c r="I11" s="150">
        <v>451056</v>
      </c>
      <c r="J11" s="150">
        <v>451056</v>
      </c>
      <c r="K11" s="150">
        <v>451056</v>
      </c>
      <c r="L11" s="150">
        <v>451056</v>
      </c>
      <c r="M11" s="150">
        <v>451056</v>
      </c>
      <c r="N11" s="150">
        <v>451056</v>
      </c>
    </row>
    <row r="14" spans="2:15" x14ac:dyDescent="0.2">
      <c r="B14" s="28" t="s">
        <v>127</v>
      </c>
      <c r="C14" s="28" t="s">
        <v>114</v>
      </c>
      <c r="D14" s="28" t="s">
        <v>115</v>
      </c>
      <c r="E14" s="28" t="s">
        <v>116</v>
      </c>
      <c r="F14" s="28" t="s">
        <v>117</v>
      </c>
      <c r="G14" s="28" t="s">
        <v>118</v>
      </c>
      <c r="H14" s="28" t="s">
        <v>119</v>
      </c>
      <c r="I14" s="28" t="s">
        <v>120</v>
      </c>
      <c r="J14" s="28" t="s">
        <v>121</v>
      </c>
      <c r="K14" s="28" t="s">
        <v>122</v>
      </c>
      <c r="L14" s="28" t="s">
        <v>123</v>
      </c>
      <c r="M14" s="28" t="s">
        <v>124</v>
      </c>
      <c r="N14" s="28" t="s">
        <v>125</v>
      </c>
      <c r="O14" s="28"/>
    </row>
    <row r="15" spans="2:15" x14ac:dyDescent="0.2">
      <c r="C15" s="150">
        <f>1175000</f>
        <v>1175000</v>
      </c>
      <c r="D15" s="150">
        <f t="shared" ref="D15:N15" si="0">1175000</f>
        <v>1175000</v>
      </c>
      <c r="E15" s="150">
        <f t="shared" si="0"/>
        <v>1175000</v>
      </c>
      <c r="F15" s="150">
        <f t="shared" si="0"/>
        <v>1175000</v>
      </c>
      <c r="G15" s="150">
        <f t="shared" si="0"/>
        <v>1175000</v>
      </c>
      <c r="H15" s="150">
        <f t="shared" si="0"/>
        <v>1175000</v>
      </c>
      <c r="I15" s="150">
        <f t="shared" si="0"/>
        <v>1175000</v>
      </c>
      <c r="J15" s="150">
        <f t="shared" si="0"/>
        <v>1175000</v>
      </c>
      <c r="K15" s="150">
        <f t="shared" si="0"/>
        <v>1175000</v>
      </c>
      <c r="L15" s="150">
        <f t="shared" si="0"/>
        <v>1175000</v>
      </c>
      <c r="M15" s="150">
        <f t="shared" si="0"/>
        <v>1175000</v>
      </c>
      <c r="N15" s="150">
        <f t="shared" si="0"/>
        <v>1175000</v>
      </c>
      <c r="O15" s="153"/>
    </row>
    <row r="18" spans="2:15" x14ac:dyDescent="0.2">
      <c r="B18" s="28" t="s">
        <v>128</v>
      </c>
      <c r="C18" s="28" t="s">
        <v>114</v>
      </c>
      <c r="D18" s="28" t="s">
        <v>115</v>
      </c>
      <c r="E18" s="28" t="s">
        <v>116</v>
      </c>
      <c r="F18" s="28" t="s">
        <v>117</v>
      </c>
      <c r="G18" s="28" t="s">
        <v>118</v>
      </c>
      <c r="H18" s="28" t="s">
        <v>119</v>
      </c>
      <c r="I18" s="28" t="s">
        <v>120</v>
      </c>
      <c r="J18" s="28" t="s">
        <v>121</v>
      </c>
      <c r="K18" s="28" t="s">
        <v>122</v>
      </c>
      <c r="L18" s="28" t="s">
        <v>123</v>
      </c>
      <c r="M18" s="28" t="s">
        <v>124</v>
      </c>
      <c r="N18" s="28" t="s">
        <v>125</v>
      </c>
    </row>
    <row r="19" spans="2:15" x14ac:dyDescent="0.2">
      <c r="C19" s="150">
        <f>770811</f>
        <v>770811</v>
      </c>
      <c r="D19" s="150">
        <f t="shared" ref="D19:N19" si="1">770811</f>
        <v>770811</v>
      </c>
      <c r="E19" s="150">
        <f t="shared" si="1"/>
        <v>770811</v>
      </c>
      <c r="F19" s="150">
        <f t="shared" si="1"/>
        <v>770811</v>
      </c>
      <c r="G19" s="150">
        <f t="shared" si="1"/>
        <v>770811</v>
      </c>
      <c r="H19" s="150">
        <f t="shared" si="1"/>
        <v>770811</v>
      </c>
      <c r="I19" s="150">
        <f t="shared" si="1"/>
        <v>770811</v>
      </c>
      <c r="J19" s="150">
        <f t="shared" si="1"/>
        <v>770811</v>
      </c>
      <c r="K19" s="150">
        <f t="shared" si="1"/>
        <v>770811</v>
      </c>
      <c r="L19" s="150">
        <f t="shared" si="1"/>
        <v>770811</v>
      </c>
      <c r="M19" s="150">
        <f t="shared" si="1"/>
        <v>770811</v>
      </c>
      <c r="N19" s="150">
        <f t="shared" si="1"/>
        <v>770811</v>
      </c>
      <c r="O19" s="15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DABD18B4E3342ADC48E4AB658DD95" ma:contentTypeVersion="11" ma:contentTypeDescription="Crée un document." ma:contentTypeScope="" ma:versionID="6c65c03ed5cb63d9afa8f8232918d0fd">
  <xsd:schema xmlns:xsd="http://www.w3.org/2001/XMLSchema" xmlns:xs="http://www.w3.org/2001/XMLSchema" xmlns:p="http://schemas.microsoft.com/office/2006/metadata/properties" xmlns:ns2="7efd63c4-653a-4d21-8d00-2effe4579461" xmlns:ns3="c15478a5-0be8-4f5d-8383-b307d5ba8bf6" targetNamespace="http://schemas.microsoft.com/office/2006/metadata/properties" ma:root="true" ma:fieldsID="9720ffeea9911d6c4eea48c781d4e5aa" ns2:_="" ns3:_="">
    <xsd:import namespace="7efd63c4-653a-4d21-8d00-2effe4579461"/>
    <xsd:import namespace="c15478a5-0be8-4f5d-8383-b307d5ba8bf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fd63c4-653a-4d21-8d00-2effe45794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5478a5-0be8-4f5d-8383-b307d5ba8bf6"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DB2BE3-9A40-4FE9-942A-CF7AE312F023}"/>
</file>

<file path=customXml/itemProps2.xml><?xml version="1.0" encoding="utf-8"?>
<ds:datastoreItem xmlns:ds="http://schemas.openxmlformats.org/officeDocument/2006/customXml" ds:itemID="{6522501B-0DB2-4182-BDD2-842ABB504804}"/>
</file>

<file path=customXml/itemProps3.xml><?xml version="1.0" encoding="utf-8"?>
<ds:datastoreItem xmlns:ds="http://schemas.openxmlformats.org/officeDocument/2006/customXml" ds:itemID="{1D251FAF-7641-4B20-AAF5-860EBA89C1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Graphs</vt:lpstr>
      <vt:lpstr>Summary</vt:lpstr>
      <vt:lpstr>Annex 3 UN Grant</vt:lpstr>
      <vt:lpstr>Annex 4 RB 2016 2017</vt:lpstr>
      <vt:lpstr>Annex 5 Extra Budget by Prog</vt:lpstr>
      <vt:lpstr>Annex 6 2016 RB XB</vt:lpstr>
      <vt:lpstr>Annex 7 2017 RB XB</vt:lpstr>
      <vt:lpstr>Course Breakdwn</vt:lpstr>
      <vt:lpstr>Workings</vt:lpstr>
      <vt:lpstr>'Annex 3 UN Grant'!Print_Area</vt:lpstr>
      <vt:lpstr>'Annex 5 Extra Budget by Prog'!Print_Area</vt:lpstr>
      <vt:lpstr>'Annex 6 2016 RB XB'!Print_Area</vt:lpstr>
      <vt:lpstr>'Annex 7 2017 RB XB'!Print_Area</vt:lpstr>
    </vt:vector>
  </TitlesOfParts>
  <Company>IDEP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Kibbnesh Wolde GABRIEL</dc:creator>
  <cp:lastModifiedBy>Ron Kamwendo</cp:lastModifiedBy>
  <cp:lastPrinted>2016-01-29T15:57:03Z</cp:lastPrinted>
  <dcterms:created xsi:type="dcterms:W3CDTF">2010-01-25T13:03:21Z</dcterms:created>
  <dcterms:modified xsi:type="dcterms:W3CDTF">2016-02-01T13:17:18Z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0x010100772DABD18B4E3342ADC48E4AB658DD95</vt:lpwstr>
  </property>
</Properties>
</file>