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worksheets/sheet1.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C:\Users\Rkamwendo\OneDrive - United Nations\UNIDEP Stuff\2. Budgeting &amp; Finance\1. Biennium Budgets\2021\Budget\"/>
    </mc:Choice>
  </mc:AlternateContent>
  <xr:revisionPtr revIDLastSave="778" documentId="8_{0AE01037-6F80-4B74-AB70-153C64D6BA00}" xr6:coauthVersionLast="44" xr6:coauthVersionMax="44" xr10:uidLastSave="{8684C8C0-FBCB-4C55-A9AE-53F8F86D4E76}"/>
  <bookViews>
    <workbookView xWindow="-110" yWindow="-110" windowWidth="19420" windowHeight="10420" firstSheet="2" activeTab="5" xr2:uid="{00000000-000D-0000-FFFF-FFFF00000000}"/>
  </bookViews>
  <sheets>
    <sheet name="Graphs" sheetId="8" r:id="rId1"/>
    <sheet name="Summary" sheetId="9" r:id="rId2"/>
    <sheet name="Annex II UN Grant" sheetId="2" r:id="rId3"/>
    <sheet name="Annex III RB 2020" sheetId="7" r:id="rId4"/>
    <sheet name="Annex IV Extra Budget by Prog" sheetId="3" r:id="rId5"/>
    <sheet name="Annex V 2021 RB XB" sheetId="5" r:id="rId6"/>
    <sheet name="PPB Breakdwn" sheetId="11" state="hidden" r:id="rId7"/>
    <sheet name="PPB" sheetId="12" state="hidden" r:id="rId8"/>
    <sheet name="Workings" sheetId="10" state="hidden" r:id="rId9"/>
  </sheets>
  <definedNames>
    <definedName name="_xlnm.Print_Area" localSheetId="2">'Annex II UN Grant'!$A$1:$F$17</definedName>
    <definedName name="_xlnm.Print_Area" localSheetId="4">'Annex IV Extra Budget by Prog'!$A$1:$E$29</definedName>
    <definedName name="_xlnm.Print_Area" localSheetId="5">'Annex V 2021 RB XB'!$A$1:$I$59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8" l="1"/>
  <c r="C5" i="8" l="1"/>
  <c r="G19" i="9"/>
  <c r="F7" i="5" l="1"/>
  <c r="F15" i="5"/>
  <c r="C49" i="8"/>
  <c r="E47" i="8" l="1"/>
  <c r="C47" i="8"/>
  <c r="B47" i="8"/>
  <c r="B46" i="8"/>
  <c r="C6" i="8"/>
  <c r="E10" i="9"/>
  <c r="D10" i="9"/>
  <c r="C10" i="9"/>
  <c r="B10" i="9"/>
  <c r="L17" i="5"/>
  <c r="L13" i="5"/>
  <c r="L15" i="5"/>
  <c r="L19" i="5"/>
  <c r="L14" i="5"/>
  <c r="E8" i="7"/>
  <c r="E9" i="7"/>
  <c r="E10" i="7"/>
  <c r="E11" i="7"/>
  <c r="G11" i="7" s="1"/>
  <c r="E12" i="7"/>
  <c r="E13" i="7"/>
  <c r="E14" i="7"/>
  <c r="E15" i="7"/>
  <c r="G15" i="7" s="1"/>
  <c r="E16" i="7"/>
  <c r="E17" i="7"/>
  <c r="E18" i="7"/>
  <c r="E19" i="7"/>
  <c r="G19" i="7" s="1"/>
  <c r="E20" i="7"/>
  <c r="E21" i="7"/>
  <c r="E22" i="7"/>
  <c r="E23" i="7"/>
  <c r="G23" i="7" s="1"/>
  <c r="E24" i="7"/>
  <c r="E25" i="7"/>
  <c r="E26" i="7"/>
  <c r="E27" i="7"/>
  <c r="G27" i="7" s="1"/>
  <c r="E28" i="7"/>
  <c r="E29" i="7"/>
  <c r="E30" i="7"/>
  <c r="E31" i="7"/>
  <c r="G31" i="7" s="1"/>
  <c r="E32" i="7"/>
  <c r="E33" i="7"/>
  <c r="E34" i="7"/>
  <c r="E35" i="7"/>
  <c r="G35" i="7" s="1"/>
  <c r="E36" i="7"/>
  <c r="E37" i="7"/>
  <c r="E38" i="7"/>
  <c r="E39" i="7"/>
  <c r="G39" i="7" s="1"/>
  <c r="E40" i="7"/>
  <c r="E41" i="7"/>
  <c r="E42" i="7"/>
  <c r="E43" i="7"/>
  <c r="G43" i="7" s="1"/>
  <c r="E44" i="7"/>
  <c r="E45" i="7"/>
  <c r="E46" i="7"/>
  <c r="E47" i="7"/>
  <c r="G47" i="7" s="1"/>
  <c r="E48" i="7"/>
  <c r="E49" i="7"/>
  <c r="E50" i="7"/>
  <c r="E51" i="7"/>
  <c r="G51" i="7" s="1"/>
  <c r="E52" i="7"/>
  <c r="E53" i="7"/>
  <c r="E54" i="7"/>
  <c r="E55" i="7"/>
  <c r="G55" i="7" s="1"/>
  <c r="E56" i="7"/>
  <c r="E7" i="7"/>
  <c r="E6" i="7"/>
  <c r="G8" i="7"/>
  <c r="G9" i="7"/>
  <c r="G10" i="7"/>
  <c r="G12" i="7"/>
  <c r="G13" i="7"/>
  <c r="G16" i="7"/>
  <c r="G17" i="7"/>
  <c r="G18" i="7"/>
  <c r="G20" i="7"/>
  <c r="G21" i="7"/>
  <c r="G22" i="7"/>
  <c r="G24" i="7"/>
  <c r="G25" i="7"/>
  <c r="G26" i="7"/>
  <c r="G28" i="7"/>
  <c r="G29" i="7"/>
  <c r="G30" i="7"/>
  <c r="G32" i="7"/>
  <c r="G33" i="7"/>
  <c r="G34" i="7"/>
  <c r="G36" i="7"/>
  <c r="G37" i="7"/>
  <c r="G38" i="7"/>
  <c r="G40" i="7"/>
  <c r="G41" i="7"/>
  <c r="G42" i="7"/>
  <c r="G44" i="7"/>
  <c r="G45" i="7"/>
  <c r="G46" i="7"/>
  <c r="G48" i="7"/>
  <c r="G49" i="7"/>
  <c r="G50" i="7"/>
  <c r="G52" i="7"/>
  <c r="G53" i="7"/>
  <c r="G54" i="7"/>
  <c r="G56" i="7"/>
  <c r="G7" i="7"/>
  <c r="D8" i="7"/>
  <c r="D9" i="7"/>
  <c r="D10" i="7"/>
  <c r="D11" i="7"/>
  <c r="D12" i="7"/>
  <c r="D13"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7" i="7"/>
  <c r="C39" i="7"/>
  <c r="C40" i="7"/>
  <c r="C41" i="7"/>
  <c r="C42" i="7"/>
  <c r="C43" i="7"/>
  <c r="C44" i="7"/>
  <c r="C45" i="7"/>
  <c r="C46" i="7"/>
  <c r="C47" i="7"/>
  <c r="C48" i="7"/>
  <c r="C49" i="7"/>
  <c r="C50" i="7"/>
  <c r="C51" i="7"/>
  <c r="C52" i="7"/>
  <c r="C53" i="7"/>
  <c r="C54" i="7"/>
  <c r="C55" i="7"/>
  <c r="C56" i="7"/>
  <c r="C37" i="7"/>
  <c r="C38"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7" i="7"/>
  <c r="C6" i="7"/>
  <c r="G29" i="5"/>
  <c r="I10" i="5"/>
  <c r="I11" i="5"/>
  <c r="I55" i="5"/>
  <c r="I54" i="5"/>
  <c r="H54" i="5"/>
  <c r="D11" i="3" l="1"/>
  <c r="G27" i="5"/>
  <c r="E53" i="5"/>
  <c r="D53" i="5"/>
  <c r="H57" i="5"/>
  <c r="H36" i="5"/>
  <c r="M49" i="11"/>
  <c r="O49" i="11" s="1"/>
  <c r="E48" i="5"/>
  <c r="D48" i="5"/>
  <c r="E47" i="5"/>
  <c r="I46" i="5"/>
  <c r="I44" i="5"/>
  <c r="I42" i="5"/>
  <c r="O59" i="11"/>
  <c r="M54" i="11"/>
  <c r="O47" i="11"/>
  <c r="M47" i="11"/>
  <c r="O46" i="11"/>
  <c r="O51" i="11"/>
  <c r="O48" i="11"/>
  <c r="O43" i="11"/>
  <c r="O37" i="11"/>
  <c r="M25" i="11" l="1"/>
  <c r="O20" i="11"/>
  <c r="O19" i="11"/>
  <c r="H7" i="5" l="1"/>
  <c r="C79" i="10"/>
  <c r="D6" i="9" l="1"/>
  <c r="E11" i="2"/>
  <c r="G15" i="5"/>
  <c r="F14" i="5"/>
  <c r="D7" i="5"/>
  <c r="C67" i="10"/>
  <c r="C66" i="10"/>
  <c r="C65" i="10"/>
  <c r="C64" i="10"/>
  <c r="C63" i="10"/>
  <c r="C60" i="10"/>
  <c r="C59" i="10"/>
  <c r="C77" i="10"/>
  <c r="C76" i="10"/>
  <c r="C75" i="10"/>
  <c r="C74" i="10"/>
  <c r="C73" i="10"/>
  <c r="C72" i="10"/>
  <c r="C71" i="10"/>
  <c r="C70" i="10"/>
  <c r="C88" i="10"/>
  <c r="C85" i="10"/>
  <c r="C84" i="10"/>
  <c r="C83" i="10"/>
  <c r="C82" i="10"/>
  <c r="C81" i="10"/>
  <c r="C80" i="10"/>
  <c r="C87" i="10"/>
  <c r="D9" i="9"/>
  <c r="G79" i="10"/>
  <c r="D6" i="7" l="1"/>
  <c r="O8" i="11"/>
  <c r="M6" i="11"/>
  <c r="O25" i="11"/>
  <c r="O42" i="11"/>
  <c r="O50" i="11"/>
  <c r="E62" i="5" l="1"/>
  <c r="F62" i="5"/>
  <c r="G39" i="5"/>
  <c r="E39" i="5" s="1"/>
  <c r="E56" i="5"/>
  <c r="G51" i="5"/>
  <c r="G49" i="5"/>
  <c r="G24" i="5"/>
  <c r="G23" i="5"/>
  <c r="G22" i="5"/>
  <c r="R1" i="10"/>
  <c r="G41" i="5"/>
  <c r="G16" i="5"/>
  <c r="G13" i="5"/>
  <c r="E10" i="2"/>
  <c r="E39" i="10" l="1"/>
  <c r="C51" i="10" l="1"/>
  <c r="F8" i="5"/>
  <c r="F39" i="10"/>
  <c r="F38" i="10"/>
  <c r="F37" i="10"/>
  <c r="F36" i="10"/>
  <c r="C69" i="10"/>
  <c r="C62" i="10"/>
  <c r="C58" i="10"/>
  <c r="E38" i="10"/>
  <c r="E37" i="10"/>
  <c r="E36" i="10"/>
  <c r="N48" i="11"/>
  <c r="D52" i="5" l="1"/>
  <c r="D51" i="5"/>
  <c r="D47" i="5"/>
  <c r="D45" i="5"/>
  <c r="D44" i="5"/>
  <c r="D43" i="5"/>
  <c r="D41" i="5"/>
  <c r="D40" i="5"/>
  <c r="D37" i="5"/>
  <c r="D33" i="5"/>
  <c r="D32" i="5"/>
  <c r="D31" i="5"/>
  <c r="D30" i="5"/>
  <c r="D28" i="5"/>
  <c r="D21" i="5"/>
  <c r="D20" i="5"/>
  <c r="D19" i="5"/>
  <c r="D18" i="5"/>
  <c r="D17" i="5"/>
  <c r="D16" i="5"/>
  <c r="D14" i="5"/>
  <c r="D12" i="5"/>
  <c r="D10" i="5"/>
  <c r="D9" i="5"/>
  <c r="D8" i="5"/>
  <c r="E59" i="5"/>
  <c r="C59" i="5"/>
  <c r="O54" i="11"/>
  <c r="N47" i="11" l="1"/>
  <c r="N31" i="11"/>
  <c r="O31" i="11"/>
  <c r="O16" i="11"/>
  <c r="O6" i="11"/>
  <c r="N6" i="11"/>
  <c r="O7" i="11"/>
  <c r="M15" i="11"/>
  <c r="O15" i="11" s="1"/>
  <c r="E12" i="2"/>
  <c r="H38" i="5" l="1"/>
  <c r="G38" i="5"/>
  <c r="D12" i="3" l="1"/>
  <c r="E44" i="10"/>
  <c r="E48" i="10"/>
  <c r="E46" i="10"/>
  <c r="F18" i="5"/>
  <c r="D36" i="10"/>
  <c r="D37" i="10"/>
  <c r="D38" i="10"/>
  <c r="D39" i="10"/>
  <c r="C36" i="10"/>
  <c r="C38" i="10"/>
  <c r="C39" i="10"/>
  <c r="C44" i="10"/>
  <c r="C46" i="10"/>
  <c r="C48" i="10"/>
  <c r="C49" i="10"/>
  <c r="P22" i="10"/>
  <c r="Q23" i="10"/>
  <c r="Q22" i="10"/>
  <c r="D49" i="5" s="1"/>
  <c r="P23" i="10"/>
  <c r="C19" i="10"/>
  <c r="D19" i="10"/>
  <c r="E19" i="10"/>
  <c r="F19" i="10"/>
  <c r="G19" i="10"/>
  <c r="H19" i="10"/>
  <c r="I19" i="10"/>
  <c r="J19" i="10"/>
  <c r="K19" i="10"/>
  <c r="L19" i="10"/>
  <c r="M19" i="10"/>
  <c r="N19" i="10"/>
  <c r="P11" i="10"/>
  <c r="P15" i="10"/>
  <c r="Q15" i="10" s="1"/>
  <c r="D24" i="5" s="1"/>
  <c r="P3" i="10"/>
  <c r="P7" i="10"/>
  <c r="Q7" i="10" s="1"/>
  <c r="G26" i="5" s="1"/>
  <c r="D26" i="5" s="1"/>
  <c r="P29" i="10"/>
  <c r="M26" i="10"/>
  <c r="P26" i="10" s="1"/>
  <c r="Q26" i="10" s="1"/>
  <c r="D46" i="5" s="1"/>
  <c r="F53" i="7"/>
  <c r="F54" i="7"/>
  <c r="F55" i="7"/>
  <c r="C57" i="7"/>
  <c r="H35" i="5"/>
  <c r="D35" i="5" s="1"/>
  <c r="D55" i="5"/>
  <c r="N59" i="11"/>
  <c r="M61" i="11"/>
  <c r="M63" i="11" s="1"/>
  <c r="D39" i="5"/>
  <c r="N51" i="11"/>
  <c r="N50" i="11"/>
  <c r="N49" i="11"/>
  <c r="D58" i="5"/>
  <c r="O14" i="11"/>
  <c r="O13" i="11"/>
  <c r="O12" i="11"/>
  <c r="O11" i="11"/>
  <c r="D13" i="5"/>
  <c r="D14" i="3"/>
  <c r="O35" i="11"/>
  <c r="O36" i="11"/>
  <c r="O28" i="11"/>
  <c r="N43" i="11"/>
  <c r="N42" i="11"/>
  <c r="N37" i="11"/>
  <c r="N36" i="11"/>
  <c r="N35" i="11"/>
  <c r="N28" i="11"/>
  <c r="N25" i="11"/>
  <c r="D54" i="5"/>
  <c r="N20" i="11"/>
  <c r="D6" i="3"/>
  <c r="N19" i="11"/>
  <c r="N16" i="11"/>
  <c r="N15" i="11"/>
  <c r="N14" i="11"/>
  <c r="N13" i="11"/>
  <c r="N12" i="11"/>
  <c r="N11" i="11"/>
  <c r="N8" i="11"/>
  <c r="N7" i="11"/>
  <c r="F29" i="5"/>
  <c r="C19" i="9"/>
  <c r="F15" i="7"/>
  <c r="F12" i="7"/>
  <c r="F9" i="5"/>
  <c r="F8" i="7"/>
  <c r="F30" i="5"/>
  <c r="F43" i="7"/>
  <c r="F7" i="7"/>
  <c r="F9" i="7"/>
  <c r="F10" i="7"/>
  <c r="F11" i="7"/>
  <c r="F16" i="7"/>
  <c r="F18" i="7"/>
  <c r="F19" i="7"/>
  <c r="F20" i="7"/>
  <c r="F21" i="7"/>
  <c r="F22" i="7"/>
  <c r="F23" i="7"/>
  <c r="F24" i="7"/>
  <c r="F25" i="7"/>
  <c r="F26" i="7"/>
  <c r="F27" i="7"/>
  <c r="F30" i="7"/>
  <c r="F31" i="7"/>
  <c r="F32" i="7"/>
  <c r="F33" i="7"/>
  <c r="F34" i="7"/>
  <c r="F36" i="7"/>
  <c r="F37" i="7"/>
  <c r="F38" i="7"/>
  <c r="F39" i="7"/>
  <c r="F40" i="7"/>
  <c r="F41" i="7"/>
  <c r="F42" i="7"/>
  <c r="F44" i="7"/>
  <c r="F45" i="7"/>
  <c r="F46" i="7"/>
  <c r="F47" i="7"/>
  <c r="F48" i="7"/>
  <c r="F49" i="7"/>
  <c r="F50" i="7"/>
  <c r="F51" i="7"/>
  <c r="F52" i="7"/>
  <c r="F56" i="7"/>
  <c r="N54" i="11"/>
  <c r="D56" i="5"/>
  <c r="D9" i="2"/>
  <c r="G50" i="5" l="1"/>
  <c r="G62" i="5" s="1"/>
  <c r="H34" i="5"/>
  <c r="D15" i="5"/>
  <c r="F14" i="7"/>
  <c r="G14" i="7" s="1"/>
  <c r="F29" i="7"/>
  <c r="C20" i="9"/>
  <c r="D60" i="10"/>
  <c r="D41" i="10"/>
  <c r="F41" i="10"/>
  <c r="D85" i="10"/>
  <c r="D8" i="9" s="1"/>
  <c r="E41" i="10"/>
  <c r="D38" i="5"/>
  <c r="D88" i="10"/>
  <c r="D7" i="9" s="1"/>
  <c r="D8" i="3"/>
  <c r="Q29" i="10"/>
  <c r="D27" i="5" s="1"/>
  <c r="Q3" i="10"/>
  <c r="G25" i="5" s="1"/>
  <c r="D25" i="5" s="1"/>
  <c r="Q11" i="10"/>
  <c r="D23" i="5" s="1"/>
  <c r="C41" i="10"/>
  <c r="D77" i="10"/>
  <c r="D23" i="3"/>
  <c r="E49" i="10"/>
  <c r="D21" i="3"/>
  <c r="P19" i="10"/>
  <c r="Q19" i="10" s="1"/>
  <c r="D67" i="10"/>
  <c r="F28" i="7"/>
  <c r="D13" i="3"/>
  <c r="D10" i="3"/>
  <c r="D11" i="5"/>
  <c r="F17" i="7"/>
  <c r="D7" i="3"/>
  <c r="D14" i="7" l="1"/>
  <c r="L16" i="5"/>
  <c r="D50" i="5"/>
  <c r="D34" i="5"/>
  <c r="C7" i="9" s="1"/>
  <c r="D11" i="9"/>
  <c r="D22" i="5"/>
  <c r="G59" i="5"/>
  <c r="F42" i="10"/>
  <c r="E9" i="2"/>
  <c r="E13" i="2" s="1"/>
  <c r="F36" i="5" s="1"/>
  <c r="D91" i="10"/>
  <c r="E77" i="10" s="1"/>
  <c r="D29" i="5"/>
  <c r="F6" i="7"/>
  <c r="G6" i="7" s="1"/>
  <c r="D42" i="10"/>
  <c r="F13" i="7"/>
  <c r="C8" i="9"/>
  <c r="D18" i="3" l="1"/>
  <c r="N61" i="11"/>
  <c r="N63" i="11" s="1"/>
  <c r="E67" i="10"/>
  <c r="E85" i="10"/>
  <c r="E60" i="10"/>
  <c r="E11" i="9" s="1"/>
  <c r="E48" i="8" s="1"/>
  <c r="E88" i="10"/>
  <c r="E7" i="9" s="1"/>
  <c r="E44" i="8" s="1"/>
  <c r="H62" i="5"/>
  <c r="D22" i="3"/>
  <c r="D24" i="3" s="1"/>
  <c r="C9" i="9"/>
  <c r="E9" i="9" s="1"/>
  <c r="E46" i="8" s="1"/>
  <c r="D17" i="3"/>
  <c r="H59" i="5"/>
  <c r="E8" i="9"/>
  <c r="E45" i="8" s="1"/>
  <c r="O61" i="11" l="1"/>
  <c r="O63" i="11" s="1"/>
  <c r="D14" i="9"/>
  <c r="E16" i="2"/>
  <c r="E57" i="7"/>
  <c r="D36" i="5" l="1"/>
  <c r="F35" i="7" l="1"/>
  <c r="F59" i="5"/>
  <c r="D57" i="7" l="1"/>
  <c r="F57" i="7"/>
  <c r="G57" i="7" l="1"/>
  <c r="C50" i="8" l="1"/>
  <c r="D43" i="8" l="1"/>
  <c r="D47" i="8"/>
  <c r="D49" i="8"/>
  <c r="D46" i="8"/>
  <c r="D45" i="8"/>
  <c r="D48" i="8"/>
  <c r="D44" i="8"/>
  <c r="D15" i="3" l="1"/>
  <c r="D19" i="3" s="1"/>
  <c r="D26" i="3" s="1"/>
  <c r="D57" i="5"/>
  <c r="C6" i="9"/>
  <c r="E6" i="9" l="1"/>
  <c r="E43" i="8" l="1"/>
  <c r="I59" i="5"/>
  <c r="D31" i="3" s="1"/>
  <c r="D33" i="3" s="1"/>
  <c r="I62" i="5"/>
  <c r="D42" i="5"/>
  <c r="D59" i="5" s="1"/>
  <c r="L18" i="5" l="1"/>
  <c r="C12" i="9" s="1"/>
  <c r="D62" i="5"/>
  <c r="I69" i="5"/>
  <c r="E12" i="9" l="1"/>
  <c r="E49" i="8" s="1"/>
  <c r="C14" i="9"/>
  <c r="E14" i="9" l="1"/>
  <c r="F10" i="9" s="1"/>
  <c r="F9" i="9"/>
  <c r="F7" i="9"/>
  <c r="E50" i="8"/>
  <c r="F11" i="9" l="1"/>
  <c r="F12" i="9"/>
  <c r="C7" i="8"/>
  <c r="C21" i="9" s="1"/>
  <c r="F8" i="9"/>
  <c r="F6" i="9"/>
  <c r="F49" i="8"/>
  <c r="F47" i="8"/>
  <c r="F14" i="9"/>
  <c r="F44" i="8"/>
  <c r="F48" i="8"/>
  <c r="F45" i="8"/>
  <c r="F46" i="8"/>
  <c r="F43" i="8"/>
  <c r="C8" i="8" l="1"/>
  <c r="D6" i="8"/>
  <c r="D5" i="8"/>
  <c r="D4" i="8"/>
  <c r="D7" i="8"/>
  <c r="C23" i="9"/>
  <c r="D21" i="9" s="1"/>
  <c r="D20" i="9" l="1"/>
  <c r="D19" i="9"/>
  <c r="D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Alois Constan COLY</author>
  </authors>
  <commentList>
    <comment ref="G15" authorId="0" shapeId="0" xr:uid="{A56B830D-0A11-8348-93B7-D712CA09F0B4}">
      <text>
        <r>
          <rPr>
            <b/>
            <sz val="9"/>
            <color indexed="81"/>
            <rFont val="Tahoma"/>
            <family val="2"/>
          </rPr>
          <t>Alois Constan COLY:</t>
        </r>
        <r>
          <rPr>
            <sz val="9"/>
            <color indexed="81"/>
            <rFont val="Tahoma"/>
            <family val="2"/>
          </rPr>
          <t xml:space="preserve">
Vigassistance 1212625
UN SECURITY 1912151
</t>
        </r>
      </text>
    </comment>
  </commentList>
</comments>
</file>

<file path=xl/sharedStrings.xml><?xml version="1.0" encoding="utf-8"?>
<sst xmlns="http://schemas.openxmlformats.org/spreadsheetml/2006/main" count="531" uniqueCount="335">
  <si>
    <t>DESCRIPTION</t>
  </si>
  <si>
    <t xml:space="preserve">Proposed </t>
  </si>
  <si>
    <t>Budget</t>
  </si>
  <si>
    <t>Line</t>
  </si>
  <si>
    <t>Professional Posts</t>
  </si>
  <si>
    <t>Lecturers</t>
  </si>
  <si>
    <t>Administrative support staff</t>
  </si>
  <si>
    <t>Staff Training</t>
  </si>
  <si>
    <t>Premises/Building</t>
  </si>
  <si>
    <t>Communications</t>
  </si>
  <si>
    <t>Loss on Exchange</t>
  </si>
  <si>
    <t>Education Grant Travel</t>
  </si>
  <si>
    <t>Home Leave Travel</t>
  </si>
  <si>
    <t>Other Separation Costs</t>
  </si>
  <si>
    <t>Travel of Staff</t>
  </si>
  <si>
    <t>Travel of Consultants</t>
  </si>
  <si>
    <t>Consultants</t>
  </si>
  <si>
    <t>Travel of Lecturers</t>
  </si>
  <si>
    <t>External Contractual Interpretation Services</t>
  </si>
  <si>
    <t>Cleaning Services</t>
  </si>
  <si>
    <t>Gardening Services</t>
  </si>
  <si>
    <t>Security Services</t>
  </si>
  <si>
    <t>Electricity</t>
  </si>
  <si>
    <t>Water</t>
  </si>
  <si>
    <t>Fuel</t>
  </si>
  <si>
    <t>Hospitality</t>
  </si>
  <si>
    <t>Maintenance of Office Automation Equipment</t>
  </si>
  <si>
    <t>Miscellaneous Services</t>
  </si>
  <si>
    <t>Stationery &amp; Office Supplies</t>
  </si>
  <si>
    <t>Training Materials</t>
  </si>
  <si>
    <t>Non-Expendable Equipment</t>
  </si>
  <si>
    <t>Overtime</t>
  </si>
  <si>
    <t>External Contractual Translation (Editing)</t>
  </si>
  <si>
    <t>Maintenance of Furniture &amp; Office Equipment</t>
  </si>
  <si>
    <t>Bank Charges</t>
  </si>
  <si>
    <t xml:space="preserve">Policy Dialogue </t>
  </si>
  <si>
    <t>Advanced Policy Research</t>
  </si>
  <si>
    <t xml:space="preserve">Education Grant </t>
  </si>
  <si>
    <t xml:space="preserve">Travel on Separation </t>
  </si>
  <si>
    <t>Commutation of Annual Leave on Separation</t>
  </si>
  <si>
    <t>Governing Council Meetings</t>
  </si>
  <si>
    <t>Contractual Services for Meetings &amp; Conferences</t>
  </si>
  <si>
    <t>Maintenance of  Communication Equipment</t>
  </si>
  <si>
    <t>Miscellaneous Claims &amp; Adjustments</t>
  </si>
  <si>
    <t>Books/Periodicals/Publications</t>
  </si>
  <si>
    <t>Audit Fee</t>
  </si>
  <si>
    <t>GRAND TOTAL</t>
  </si>
  <si>
    <t>Maintenance &amp; Operation of Transportation Eqt.</t>
  </si>
  <si>
    <t>Allotment</t>
  </si>
  <si>
    <t>GENERAL ASSEMBLY GRANT</t>
  </si>
  <si>
    <t>Budget Line</t>
  </si>
  <si>
    <t>M/M</t>
  </si>
  <si>
    <t>TOTAL</t>
  </si>
  <si>
    <t>Grand Total</t>
  </si>
  <si>
    <t>All XB Resources</t>
  </si>
  <si>
    <t>Support Personnel, Administrative and Overhead Costs</t>
  </si>
  <si>
    <t>IDEP Library &amp; IDEP Policy Publications</t>
  </si>
  <si>
    <t>Outreach and Dissemination Programmes &amp; Activities</t>
  </si>
  <si>
    <t>Capacity Development and Training Programmes</t>
  </si>
  <si>
    <t>Policy Research Programmes</t>
  </si>
  <si>
    <t>EXTRA BUDGETARY BY PROGRAMME OF ACTIVITIES</t>
  </si>
  <si>
    <t xml:space="preserve">Regular </t>
  </si>
  <si>
    <t>Extra-</t>
  </si>
  <si>
    <t>(RB &amp; XB)</t>
  </si>
  <si>
    <t>Marketing Promotion &amp; Visibility</t>
  </si>
  <si>
    <t>Fellowships &amp; Miscellaneaos services</t>
  </si>
  <si>
    <t>Development Seminars</t>
  </si>
  <si>
    <t>Administrative Support Staff</t>
  </si>
  <si>
    <t>Short term Courses</t>
  </si>
  <si>
    <t xml:space="preserve">Relocation &amp; Repatriation Grants </t>
  </si>
  <si>
    <t>Capacity Development and Training Programmes Short-term Courses (5)</t>
  </si>
  <si>
    <t>Capacity Development and Training Programmes Short-term Courses</t>
  </si>
  <si>
    <t>Need Assessment Training, Tailor -made &amp; Strategic outreach</t>
  </si>
  <si>
    <t>MSc Collaborative Programmes</t>
  </si>
  <si>
    <t>Need assessment &amp; strategic outreach</t>
  </si>
  <si>
    <t>Sub-total</t>
  </si>
  <si>
    <t>Administrative, Lagistics &amp; Equipments Support</t>
  </si>
  <si>
    <t>Member State Contributions</t>
  </si>
  <si>
    <t>%</t>
  </si>
  <si>
    <t>Total</t>
  </si>
  <si>
    <t>Training</t>
  </si>
  <si>
    <t>Research</t>
  </si>
  <si>
    <t>Staff costs</t>
  </si>
  <si>
    <t>Common running costs</t>
  </si>
  <si>
    <t>A</t>
  </si>
  <si>
    <t>B</t>
  </si>
  <si>
    <t>Governing Council and Technical Advisory Committee</t>
  </si>
  <si>
    <t>Lecturers for short courses</t>
  </si>
  <si>
    <t>Professional Posts (Director, Training Head, Administrator, Research Officer)</t>
  </si>
  <si>
    <t>Budget (UN Grant)</t>
  </si>
  <si>
    <t>Governing Council and TAC Meetings</t>
  </si>
  <si>
    <t>Less home leave travel and education grant estimate</t>
  </si>
  <si>
    <t>Jan</t>
  </si>
  <si>
    <t>Feb</t>
  </si>
  <si>
    <t>Mar</t>
  </si>
  <si>
    <t>Apr</t>
  </si>
  <si>
    <t>May</t>
  </si>
  <si>
    <t>Jun</t>
  </si>
  <si>
    <t>Jul</t>
  </si>
  <si>
    <t>Aug</t>
  </si>
  <si>
    <t>Sep</t>
  </si>
  <si>
    <t>Oct</t>
  </si>
  <si>
    <t>Nov</t>
  </si>
  <si>
    <t>Dec</t>
  </si>
  <si>
    <t xml:space="preserve">Gardening </t>
  </si>
  <si>
    <t>Security</t>
  </si>
  <si>
    <t xml:space="preserve">Cleaning </t>
  </si>
  <si>
    <t>Extract from UN Grants and difference is from MS Contribution based on salary projections</t>
  </si>
  <si>
    <t>Monthly Development Seminars</t>
  </si>
  <si>
    <t>Contract  based</t>
  </si>
  <si>
    <t>Based on trends of previous years</t>
  </si>
  <si>
    <t>based on trends of previous years slightly uplifted</t>
  </si>
  <si>
    <t>Extracted from UN grant allotments - honararium</t>
  </si>
  <si>
    <t>Provisional sum for unknown and uncategorised expenses</t>
  </si>
  <si>
    <t>Based on three meetings of GC and two for TAC for the year (drawn from trends)</t>
  </si>
  <si>
    <t>Estimated based on max ed grant and number of dependants</t>
  </si>
  <si>
    <t>Estmated contribution to the cost of staff training for UMOJA (IPSAS, Finance, Grants, Funds, Travel, HR, Procurement, Service delivery, ESS/MSS)</t>
  </si>
  <si>
    <t>E-learning platform development &amp; software purchases and running costs</t>
  </si>
  <si>
    <t>Based on previous trends</t>
  </si>
  <si>
    <t>IMDIS</t>
  </si>
  <si>
    <t>COUNT</t>
  </si>
  <si>
    <t xml:space="preserve">Substantive servicing of meetings: </t>
  </si>
  <si>
    <t>No</t>
  </si>
  <si>
    <t>Yes</t>
  </si>
  <si>
    <t xml:space="preserve">Parliamentary documentation: </t>
  </si>
  <si>
    <t xml:space="preserve"> Other substantive activities (regular budget): </t>
  </si>
  <si>
    <t>Non-recurrent publications:</t>
  </si>
  <si>
    <t>Booklets, Pamplets, Fact sheets, Wallchartsm,Information Kits:</t>
  </si>
  <si>
    <t>Exhibits, guided tours, lectures:</t>
  </si>
  <si>
    <t xml:space="preserve"> Technical cooperation (regular budget/extrabudgetary): </t>
  </si>
  <si>
    <t xml:space="preserve">Fellowships and grants: </t>
  </si>
  <si>
    <t>Total Outputs</t>
  </si>
  <si>
    <t>Adjusted Total Ouputs</t>
  </si>
  <si>
    <t>Includes advisory services, see course breakdown</t>
  </si>
  <si>
    <t xml:space="preserve">Includes non-recurrent publications, </t>
  </si>
  <si>
    <t>Extracted from UN grant allotments and previous trends</t>
  </si>
  <si>
    <t>Covers information kit and other media exploits</t>
  </si>
  <si>
    <t>Provisional sum for vehicle repairs</t>
  </si>
  <si>
    <t>Provisional sum for the replacement of worn-out items and purchase of microphone</t>
  </si>
  <si>
    <t>High-level policy dialogues</t>
  </si>
  <si>
    <t>E-leaning Platform and test run with UNITAR</t>
  </si>
  <si>
    <t>IDEP Communications</t>
  </si>
  <si>
    <t>Govermig Council / Technical Advisory Committee plus reports</t>
  </si>
  <si>
    <t>Sectoral and Thematic Core Short Courses, workshops</t>
  </si>
  <si>
    <t xml:space="preserve">Development Seminars </t>
  </si>
  <si>
    <t>Field project visits</t>
  </si>
  <si>
    <t>Monitoring and Evaluation</t>
  </si>
  <si>
    <t>MSc Programmes (Industrial Policy; Development Planning)</t>
  </si>
  <si>
    <t>POTENTIAL SOURCE OF FUNDS</t>
  </si>
  <si>
    <t>All XB Resource overhead</t>
  </si>
  <si>
    <t>Prog Expenses</t>
  </si>
  <si>
    <t>Salaries</t>
  </si>
  <si>
    <t>Operating expenses</t>
  </si>
  <si>
    <t>KM and e-Learning</t>
  </si>
  <si>
    <t>Amount (US$)</t>
  </si>
  <si>
    <t>Category</t>
  </si>
  <si>
    <t>ACTIVITY</t>
  </si>
  <si>
    <t>Visiting Tajudeen and other Research Fellowships</t>
  </si>
  <si>
    <t>Admin costs</t>
  </si>
  <si>
    <t xml:space="preserve">                                               REGULAR BUDGET AND IDEP GENERATED RESOURCES THE BIENNIUM 2018-2019</t>
  </si>
  <si>
    <t>ALLOTMENT 2019</t>
  </si>
  <si>
    <t>Outputs</t>
  </si>
  <si>
    <t>Quantity</t>
  </si>
  <si>
    <t>Servicing of intergovernmental and expert bodies: (Regular Budget / Extrabudgetary)</t>
  </si>
  <si>
    <t>Substantive servicing of meetings:</t>
  </si>
  <si>
    <r>
      <t>1.</t>
    </r>
    <r>
      <rPr>
        <sz val="7"/>
        <rFont val="Times New Roman"/>
        <family val="1"/>
      </rPr>
      <t xml:space="preserve">    </t>
    </r>
    <r>
      <rPr>
        <sz val="8.5"/>
        <color rgb="FF000000"/>
        <rFont val="Times New Roman"/>
        <family val="1"/>
      </rPr>
      <t>Statutory meetings of the Governing Council of the African Institute for Economic Development and Planning (IDEP);</t>
    </r>
  </si>
  <si>
    <r>
      <t>2.</t>
    </r>
    <r>
      <rPr>
        <sz val="7"/>
        <rFont val="Times New Roman"/>
        <family val="1"/>
      </rPr>
      <t xml:space="preserve">    </t>
    </r>
    <r>
      <rPr>
        <sz val="8.5"/>
        <color rgb="FF000000"/>
        <rFont val="Times New Roman"/>
        <family val="1"/>
      </rPr>
      <t>Technical Advisory Committee of IDEP.</t>
    </r>
  </si>
  <si>
    <t>Parliamentary documentation:</t>
  </si>
  <si>
    <r>
      <t>3.</t>
    </r>
    <r>
      <rPr>
        <sz val="7"/>
        <rFont val="Times New Roman"/>
        <family val="1"/>
      </rPr>
      <t xml:space="preserve">    </t>
    </r>
    <r>
      <rPr>
        <sz val="8.5"/>
        <color rgb="FF000000"/>
        <rFont val="Times New Roman"/>
        <family val="1"/>
      </rPr>
      <t>Reports to the IDEP Governing Council on the status of sub-programme;</t>
    </r>
  </si>
  <si>
    <r>
      <t>4.</t>
    </r>
    <r>
      <rPr>
        <sz val="7"/>
        <rFont val="Times New Roman"/>
        <family val="1"/>
      </rPr>
      <t xml:space="preserve">    </t>
    </r>
    <r>
      <rPr>
        <sz val="8.5"/>
        <rFont val="Times New Roman"/>
        <family val="1"/>
      </rPr>
      <t>IDEP Governing Council meeting reports;</t>
    </r>
  </si>
  <si>
    <r>
      <t>5.</t>
    </r>
    <r>
      <rPr>
        <sz val="7"/>
        <rFont val="Times New Roman"/>
        <family val="1"/>
      </rPr>
      <t xml:space="preserve">    </t>
    </r>
    <r>
      <rPr>
        <sz val="8.5"/>
        <rFont val="Times New Roman"/>
        <family val="1"/>
      </rPr>
      <t>Progress reports to the IDEP Technical Advisory Committee;</t>
    </r>
  </si>
  <si>
    <r>
      <t>6.</t>
    </r>
    <r>
      <rPr>
        <sz val="7"/>
        <rFont val="Times New Roman"/>
        <family val="1"/>
      </rPr>
      <t xml:space="preserve">    </t>
    </r>
    <r>
      <rPr>
        <sz val="8.5"/>
        <rFont val="Times New Roman"/>
        <family val="1"/>
      </rPr>
      <t>IDEP Technical Advisory Committee meeting report to the Governing Council;</t>
    </r>
  </si>
  <si>
    <r>
      <t>7.</t>
    </r>
    <r>
      <rPr>
        <sz val="7"/>
        <rFont val="Times New Roman"/>
        <family val="1"/>
      </rPr>
      <t xml:space="preserve">    </t>
    </r>
    <r>
      <rPr>
        <sz val="8.5"/>
        <rFont val="Times New Roman"/>
        <family val="1"/>
      </rPr>
      <t>Statutory Audit reports on the financial health of IDEP presented to the Governing Council;</t>
    </r>
  </si>
  <si>
    <r>
      <t>8.</t>
    </r>
    <r>
      <rPr>
        <sz val="7"/>
        <rFont val="Times New Roman"/>
        <family val="1"/>
      </rPr>
      <t xml:space="preserve">    </t>
    </r>
    <r>
      <rPr>
        <sz val="8.5"/>
        <rFont val="Times New Roman"/>
        <family val="1"/>
      </rPr>
      <t xml:space="preserve">IDEP programme progress reports for the ECA Conference of Ministers of Finance, Planning, and Economic Management. </t>
    </r>
  </si>
  <si>
    <t>Ad hoc expert groups</t>
  </si>
  <si>
    <r>
      <t>9.</t>
    </r>
    <r>
      <rPr>
        <sz val="7"/>
        <rFont val="Times New Roman"/>
        <family val="1"/>
      </rPr>
      <t xml:space="preserve">    </t>
    </r>
    <r>
      <rPr>
        <sz val="8.5"/>
        <color rgb="FF000000"/>
        <rFont val="Times New Roman"/>
        <family val="1"/>
      </rPr>
      <t>High-level policy dialogue events attended by policy officials from Member States, private sector representatives and subject-matter experts to examine various issues pertaining to African economic development and planning with particular emphasis on those relating to 2030 Agenda for Sustainable Development.</t>
    </r>
  </si>
  <si>
    <t>Other services provided</t>
  </si>
  <si>
    <r>
      <t>10.</t>
    </r>
    <r>
      <rPr>
        <sz val="7"/>
        <rFont val="Times New Roman"/>
        <family val="1"/>
      </rPr>
      <t xml:space="preserve"> </t>
    </r>
    <r>
      <rPr>
        <sz val="8.5"/>
        <color rgb="FF000000"/>
        <rFont val="Times New Roman"/>
        <family val="1"/>
      </rPr>
      <t>Communities of practice for Africa Development Planners facilitated via electronic media.</t>
    </r>
  </si>
  <si>
    <t>Other substantive activities (Extra-Budgetary)</t>
  </si>
  <si>
    <r>
      <t>11.</t>
    </r>
    <r>
      <rPr>
        <sz val="7"/>
        <rFont val="Times New Roman"/>
        <family val="1"/>
      </rPr>
      <t xml:space="preserve"> </t>
    </r>
    <r>
      <rPr>
        <sz val="8.5"/>
        <rFont val="Times New Roman"/>
        <family val="1"/>
      </rPr>
      <t xml:space="preserve">Discussion papers presented by authors at research related events co-organised by IDEP and partners, to be disseminated to the wider public through print and electronic media; </t>
    </r>
  </si>
  <si>
    <r>
      <t>12.</t>
    </r>
    <r>
      <rPr>
        <sz val="7"/>
        <rFont val="Times New Roman"/>
        <family val="1"/>
      </rPr>
      <t xml:space="preserve"> </t>
    </r>
    <r>
      <rPr>
        <sz val="8.5"/>
        <rFont val="Times New Roman"/>
        <family val="1"/>
      </rPr>
      <t>Fellowship papers on relevant selected research topics published in journals.</t>
    </r>
  </si>
  <si>
    <t>Booklets, pamphlets, fact sheets, wallcharts, information kits:</t>
  </si>
  <si>
    <r>
      <t>13.</t>
    </r>
    <r>
      <rPr>
        <sz val="7"/>
        <rFont val="Times New Roman"/>
        <family val="1"/>
      </rPr>
      <t xml:space="preserve"> </t>
    </r>
    <r>
      <rPr>
        <sz val="8.5"/>
        <rFont val="Times New Roman"/>
        <family val="1"/>
      </rPr>
      <t>Policy briefs on outcomes of monthly development seminars organised by IDEP and partners disseminated to the wider public through print and electronic media;</t>
    </r>
  </si>
  <si>
    <r>
      <t>14.</t>
    </r>
    <r>
      <rPr>
        <sz val="7"/>
        <rFont val="Times New Roman"/>
        <family val="1"/>
      </rPr>
      <t xml:space="preserve"> </t>
    </r>
    <r>
      <rPr>
        <sz val="8.5"/>
        <rFont val="Times New Roman"/>
        <family val="1"/>
      </rPr>
      <t>Books, Journals and other library materials on economic management and development planning (in both English and French) procured and made available to training participants and the wider public through the on-site and virtual library.</t>
    </r>
  </si>
  <si>
    <r>
      <t>15.</t>
    </r>
    <r>
      <rPr>
        <sz val="7"/>
        <rFont val="Times New Roman"/>
        <family val="1"/>
      </rPr>
      <t xml:space="preserve"> </t>
    </r>
    <r>
      <rPr>
        <sz val="8.5"/>
        <rFont val="Times New Roman"/>
        <family val="1"/>
      </rPr>
      <t>200,000 pages digitally archived in A4 format are made available via Internet connection to the library, to support both research activity for interested parties; and the in-house and e-Learning training activity at IDEP.</t>
    </r>
  </si>
  <si>
    <r>
      <t>16.</t>
    </r>
    <r>
      <rPr>
        <sz val="7"/>
        <rFont val="Times New Roman"/>
        <family val="1"/>
      </rPr>
      <t xml:space="preserve"> </t>
    </r>
    <r>
      <rPr>
        <sz val="8.5"/>
        <rFont val="Times New Roman"/>
        <family val="1"/>
      </rPr>
      <t>Information kit for IDEP comprising of the IDEP strategic plan, training brochures, booklets, leaflets, kakemonos, banners, and assorted accessories (bags, t-shirts, pens, calendars, greeting cards, to promote the Institute’s work produced).</t>
    </r>
  </si>
  <si>
    <t>Exhibits, guided tours and lectures:</t>
  </si>
  <si>
    <r>
      <t>17.</t>
    </r>
    <r>
      <rPr>
        <sz val="7"/>
        <rFont val="Times New Roman"/>
        <family val="1"/>
      </rPr>
      <t xml:space="preserve"> </t>
    </r>
    <r>
      <rPr>
        <sz val="8.5"/>
        <rFont val="Times New Roman"/>
        <family val="1"/>
      </rPr>
      <t>Development seminars on top-of-mind topics on African economic development and planning;</t>
    </r>
  </si>
  <si>
    <r>
      <t>18.</t>
    </r>
    <r>
      <rPr>
        <sz val="7"/>
        <rFont val="Times New Roman"/>
        <family val="1"/>
      </rPr>
      <t xml:space="preserve"> </t>
    </r>
    <r>
      <rPr>
        <sz val="8.5"/>
        <rFont val="Times New Roman"/>
        <family val="1"/>
      </rPr>
      <t>Field visits for participants to explore practical applications of classroom-learnings in the areas of industrialisation, transport and infrastructure, agriculture, mining and natural resources management, and tourism.</t>
    </r>
  </si>
  <si>
    <t>Technical cooperation (regular budget/extra budgetary)</t>
  </si>
  <si>
    <t>Advisory services at the request of governments:</t>
  </si>
  <si>
    <r>
      <t>19.</t>
    </r>
    <r>
      <rPr>
        <sz val="7"/>
        <rFont val="Times New Roman"/>
        <family val="1"/>
      </rPr>
      <t xml:space="preserve"> </t>
    </r>
    <r>
      <rPr>
        <sz val="8.5"/>
        <rFont val="Times New Roman"/>
        <family val="1"/>
      </rPr>
      <t>Advisory Missions undertaken at the request of Member States and Regional Economic Communities (REC) to assist in matters of economic management and development planning;</t>
    </r>
  </si>
  <si>
    <r>
      <t>20.</t>
    </r>
    <r>
      <rPr>
        <sz val="7"/>
        <rFont val="Times New Roman"/>
        <family val="1"/>
      </rPr>
      <t xml:space="preserve"> </t>
    </r>
    <r>
      <rPr>
        <sz val="8.5"/>
        <rFont val="Times New Roman"/>
        <family val="1"/>
      </rPr>
      <t>Needs assessment missions undertaken to a sample of Member States and Regional Economic Communities (REC) to identify human capacity building needs that can be addressed by skills trainings to be used in developing new on-site or tailor-made (country or REC specific) training courses.</t>
    </r>
  </si>
  <si>
    <t>Fellowships and grants:</t>
  </si>
  <si>
    <r>
      <t>21.</t>
    </r>
    <r>
      <rPr>
        <sz val="7"/>
        <rFont val="Times New Roman"/>
        <family val="1"/>
      </rPr>
      <t xml:space="preserve"> </t>
    </r>
    <r>
      <rPr>
        <sz val="8.5"/>
        <rFont val="Times New Roman"/>
        <family val="1"/>
      </rPr>
      <t>Fellowships awarded to competitively selected individuals to undertake quality research leading to publications in the management of economic policy and development planning.</t>
    </r>
  </si>
  <si>
    <t>Group training (seminars, workshops, symposiums):</t>
  </si>
  <si>
    <r>
      <t>22.</t>
    </r>
    <r>
      <rPr>
        <sz val="7"/>
        <rFont val="Times New Roman"/>
        <family val="1"/>
      </rPr>
      <t xml:space="preserve"> </t>
    </r>
    <r>
      <rPr>
        <sz val="8.5"/>
        <rFont val="Times New Roman"/>
        <family val="1"/>
      </rPr>
      <t xml:space="preserve">Two-week skills trainings, each targeting an average of 25 public officials, in various aspects of African economic development and planning including: Agricultural Policy, Data and Statistics, Development Planning and Strategies, Domestic Resource Mobilisation, Energy Policy, Gender and Economics, Illicit Financial Flows, Industrialisation, International Migration and Development, Minerals and Mining Policy, Natural Resources Management, Sectoral Development Planning, Social Policy, Transport and Infrastructure; </t>
    </r>
  </si>
  <si>
    <r>
      <t>23.</t>
    </r>
    <r>
      <rPr>
        <sz val="7"/>
        <rFont val="Times New Roman"/>
        <family val="1"/>
      </rPr>
      <t xml:space="preserve"> </t>
    </r>
    <r>
      <rPr>
        <sz val="8.5"/>
        <rFont val="Times New Roman"/>
        <family val="1"/>
      </rPr>
      <t xml:space="preserve">One-week skills trainings in collaboration with ECA Divisions, Centres, and Sub-Regional Offices, each targeting an average of 25 public officials, in various aspects of African economic development and planning including: Climate Change, Gender and Development, Governance and Development, Innovations and Technology, Land Management, Macroeconomics, Natural Resources Management, Regional Integration and Trade, Social Development, and Statistics; </t>
    </r>
  </si>
  <si>
    <r>
      <t>24.</t>
    </r>
    <r>
      <rPr>
        <sz val="7"/>
        <rFont val="Times New Roman"/>
        <family val="1"/>
      </rPr>
      <t xml:space="preserve"> </t>
    </r>
    <r>
      <rPr>
        <sz val="8.5"/>
        <rFont val="Times New Roman"/>
        <family val="1"/>
      </rPr>
      <t>E-learning courses (4 English, 4 French) based on selected ECA flagship publications targeting 1000 beneficiaries drawn from the academia, civil society, private sector and public sector;</t>
    </r>
  </si>
  <si>
    <r>
      <t>25.</t>
    </r>
    <r>
      <rPr>
        <sz val="7"/>
        <rFont val="Times New Roman"/>
        <family val="1"/>
      </rPr>
      <t xml:space="preserve"> </t>
    </r>
    <r>
      <rPr>
        <sz val="8.5"/>
        <rFont val="Times New Roman"/>
        <family val="1"/>
      </rPr>
      <t>E-learning courses (6 English, 6 French) via the IDEP online learning platform based on the current IDEP portfolio of regular courses and targeting 1,200 beneficiaries drawn from the civil society, private sector, and public sector;</t>
    </r>
  </si>
  <si>
    <r>
      <t>26.</t>
    </r>
    <r>
      <rPr>
        <sz val="7"/>
        <rFont val="Times New Roman"/>
        <family val="1"/>
      </rPr>
      <t xml:space="preserve"> </t>
    </r>
    <r>
      <rPr>
        <sz val="8.5"/>
        <rFont val="Times New Roman"/>
        <family val="1"/>
      </rPr>
      <t>Master’s Degree programmes with specialisations of relevance to African development, targeting policymakers, offered in collaboration with recognised African Universities in the following areas: Industrial Policy, Economic Management and Development Planning, and Natural Resources Management;</t>
    </r>
  </si>
  <si>
    <r>
      <t>27.</t>
    </r>
    <r>
      <rPr>
        <sz val="7"/>
        <rFont val="Times New Roman"/>
        <family val="1"/>
      </rPr>
      <t xml:space="preserve"> </t>
    </r>
    <r>
      <rPr>
        <sz val="8.5"/>
        <rFont val="Times New Roman"/>
        <family val="1"/>
      </rPr>
      <t>Curriculum development workshops to develop new courses addressing needs expressed by member States through IDEP needs assessment missions.</t>
    </r>
  </si>
  <si>
    <t>Telecommunications</t>
  </si>
  <si>
    <t>Cellphones</t>
  </si>
  <si>
    <t>Landline</t>
  </si>
  <si>
    <t>Statutory meetings of the Governing Council of the African Institute for Economic Development and Planning (IDEP);</t>
  </si>
  <si>
    <t>Meetings of the Technical Advisory Committee of IDEP.</t>
  </si>
  <si>
    <t>Reports to the IDEP Governing Council on the status of sub-programme;</t>
  </si>
  <si>
    <t>IDEP Governing Council meeting reports;</t>
  </si>
  <si>
    <t>Progress reports to the IDEP Technical Advisory Committee;</t>
  </si>
  <si>
    <t>IDEP Technical Advisory Committee meeting report to the Governing Council;</t>
  </si>
  <si>
    <t>Statutory Audit reports on the financial health of IDEP presented to the Governing Council;</t>
  </si>
  <si>
    <t xml:space="preserve">IDEP programme progress reports for the ECA Conference of Ministers of Finance, Planning, and Economic Management. </t>
  </si>
  <si>
    <t>Conference of Ministers of Finance, Planning and Economic Development</t>
  </si>
  <si>
    <t>High-level policy dialogue events attended by policy officials from Member States, private sector representatives and subject-matter experts to examine various issues pertaining to African economic development and planning with particular emphasis on those relating to 2030 Agenda for Sustainable Development.</t>
  </si>
  <si>
    <t>Communities of practice for Africa Development Planners facilitated via electronic media.</t>
  </si>
  <si>
    <t>Office Stationery</t>
  </si>
  <si>
    <t>Staff Travel</t>
  </si>
  <si>
    <t xml:space="preserve">Discussion papers presented by authors at research related events co-organised by IDEP and partners, to be disseminated to the wider public through print and electronic media; </t>
  </si>
  <si>
    <t>Fellowship papers on relevant selected research topics published in journals.</t>
  </si>
  <si>
    <t>Policy briefs on outcomes of monthly development seminars organised by IDEP and partners disseminated to the wider public through print and electronic media;</t>
  </si>
  <si>
    <t>Development seminars on top-of-mind topics on African economic development and planning;</t>
  </si>
  <si>
    <t>Field visits for participants to explore practical applications of classroom-learnings in the areas of industrialisation, transport and infrastructure, agriculture, mining and natural resources management, and tourism.</t>
  </si>
  <si>
    <t xml:space="preserve">Advisory services at the request of governments: </t>
  </si>
  <si>
    <t>Advisory Missions undertaken at the request of Member States and Regional Economic Communities (REC) to assist in matters of economic management and development planning;</t>
  </si>
  <si>
    <t>Needs assessment missions undertaken to a sample of Member States and Regional Economic Communities (REC) to identify human capacity building needs that can be addressed by skills trainings to be used in developing new on-site or tailor-made (country or REC specific) training courses.</t>
  </si>
  <si>
    <t>Curriculum development workshops to develop new courses addressing needs expressed by member States through IDEP needs assessment missions.</t>
  </si>
  <si>
    <t xml:space="preserve">Group training (seminars, workshops, symposiums): </t>
  </si>
  <si>
    <t>Other services : (Other adhoc Expert Groups)</t>
  </si>
  <si>
    <t>Administrative support costs</t>
  </si>
  <si>
    <t>Central support services: (Achives and records management)</t>
  </si>
  <si>
    <t>To undertake quality research leading to publications on the management of economic policy and development planning</t>
  </si>
  <si>
    <t>Master’s Degree programmes with specialisations of relevance to African development, targeting policymakers, offered in collaboration with recognised African Universities;</t>
  </si>
  <si>
    <t xml:space="preserve">Technical materials: </t>
  </si>
  <si>
    <t>Seminars</t>
  </si>
  <si>
    <t>Information kit for IDEP comprising of the IDEP strategic plan, training brochures, booklets, leaflets, kakemonos, banners, and assorted accessories to promote the Institute's work (set)</t>
  </si>
  <si>
    <t>COST - UN Grant</t>
  </si>
  <si>
    <t>COST - XB plus</t>
  </si>
  <si>
    <t>Professional Salaries</t>
  </si>
  <si>
    <t>D1</t>
  </si>
  <si>
    <t>P5</t>
  </si>
  <si>
    <t>P3</t>
  </si>
  <si>
    <t>P4</t>
  </si>
  <si>
    <t>Ed Grant</t>
  </si>
  <si>
    <t>Relocation</t>
  </si>
  <si>
    <t>Rental Subsidy</t>
  </si>
  <si>
    <t>Education Grant &amp; Rental Subsidy</t>
  </si>
  <si>
    <t>Avg US$</t>
  </si>
  <si>
    <t>Avg CFA</t>
  </si>
  <si>
    <t>Exchange rate</t>
  </si>
  <si>
    <t>Based on biennium plan</t>
  </si>
  <si>
    <t>20 scholarships with UJ and the rest with INP</t>
  </si>
  <si>
    <t>Estimated amount</t>
  </si>
  <si>
    <t xml:space="preserve">Three purchases averaging $3000 each </t>
  </si>
  <si>
    <t>Reduced estimated based on non-usage</t>
  </si>
  <si>
    <t>Two home leave instances anticipated</t>
  </si>
  <si>
    <t>Covers cellphones, landlines, and data - based on recent trends</t>
  </si>
  <si>
    <t>Based on a costing of the biennium plan (eLearning and Communities of Practice) and software licensing (proc plan)</t>
  </si>
  <si>
    <t>Contract  based, uplifted for impending LTA adjustments</t>
  </si>
  <si>
    <t>e-Learning and Knowledge Management</t>
  </si>
  <si>
    <t>IDEP XB</t>
  </si>
  <si>
    <t>UJ, ACBF, INP</t>
  </si>
  <si>
    <t>Estimate based on the recurring need to fix toilets, basement, and electrical work</t>
  </si>
  <si>
    <t>eLearning and Knowledge Management</t>
  </si>
  <si>
    <t>ECA Programme Support</t>
  </si>
  <si>
    <t>Karima Ben Soltane</t>
  </si>
  <si>
    <t>Moustapha Sadni Jallab</t>
  </si>
  <si>
    <t>Ron M. Kamwendo Jnr</t>
  </si>
  <si>
    <t>P3 Vacant Post</t>
  </si>
  <si>
    <t>Adama Sira Bah</t>
  </si>
  <si>
    <t>Antonin Benoit Diouf</t>
  </si>
  <si>
    <t>Aimé M Mangoumen</t>
  </si>
  <si>
    <t>Amsatou Ndiaye</t>
  </si>
  <si>
    <t>Anna Ndiaye</t>
  </si>
  <si>
    <t>Mamadou Demba Ka</t>
  </si>
  <si>
    <t>Malick Coumba Ndiaye</t>
  </si>
  <si>
    <t>Charles Bara</t>
  </si>
  <si>
    <t>Mamadou Diaw</t>
  </si>
  <si>
    <t>Juliette Quenum</t>
  </si>
  <si>
    <t>Mbathio Samb</t>
  </si>
  <si>
    <t>Paulette Diene</t>
  </si>
  <si>
    <t>Mamadou Sy</t>
  </si>
  <si>
    <t>Aloïs C. Coly</t>
  </si>
  <si>
    <t>Cheikh A.Toure</t>
  </si>
  <si>
    <t>Eric Fidel C. Guedegbe</t>
  </si>
  <si>
    <t>Bertthilde Mukanyiligira</t>
  </si>
  <si>
    <t>Catherine Layre Faye</t>
  </si>
  <si>
    <t>Zeynabou Kane</t>
  </si>
  <si>
    <t>Direction</t>
  </si>
  <si>
    <t>Administration</t>
  </si>
  <si>
    <t>e-Leaning &amp; KM</t>
  </si>
  <si>
    <t>Head of eLearning and KN</t>
  </si>
  <si>
    <t>Capital expendindures (Computers,Projectors, photocopier,interpretation equipments</t>
  </si>
  <si>
    <t>BADEA,FF,ECA, ABD,AUC, COMESA,MEFMI,UJ</t>
  </si>
  <si>
    <t>ECA / IDEP XB</t>
  </si>
  <si>
    <t>ECA/BADEA/MEFMI/UNITAR</t>
  </si>
  <si>
    <t>ECA Divisions</t>
  </si>
  <si>
    <t>BADEA,FF,OSIWA,ECA</t>
  </si>
  <si>
    <t>General Assembly Grant 2020 Allotment</t>
  </si>
  <si>
    <t>E-learning courses ( English &amp; French) delivered via the IDEP online learning platform based on the current IDEP portfolio of regular courses and targeting the civil society, private sector, and public sector;</t>
  </si>
  <si>
    <t>Member States</t>
  </si>
  <si>
    <t>Budgetary (ECA)</t>
  </si>
  <si>
    <t>Extra-Budgetary</t>
  </si>
  <si>
    <t>Other Partners</t>
  </si>
  <si>
    <t>Year</t>
  </si>
  <si>
    <t xml:space="preserve">Books, Journals and other library materials on economic management and development planning (in both English and French) procured and made available to training participants and the wider public through the on-site and virtual library. </t>
  </si>
  <si>
    <t xml:space="preserve">Servicing of intergovernmental and expert bodies (regular budget and extrabudgetary): </t>
  </si>
  <si>
    <t>IDEP Unrestricted Reserves &amp; Other Income</t>
  </si>
  <si>
    <t>Refer to the 2018 procurement plan (replacement of Director's vehicle)</t>
  </si>
  <si>
    <t>One-week in-situ skills training targeting an average of 25 public officials on various aspects of African economic development and planning including;</t>
  </si>
  <si>
    <t>Two-week in-situ skills training targeting an average of 25 public officials, on various aspects of African economic development and planning including;</t>
  </si>
  <si>
    <t>Finance Assistant (Vacant)</t>
  </si>
  <si>
    <t>Mamadou Cisse</t>
  </si>
  <si>
    <t>Pierrette Lou Nah Zah</t>
  </si>
  <si>
    <t>Regular Budget (UN Grant + RPTC)</t>
  </si>
  <si>
    <t>Minimum to be mobilised</t>
  </si>
  <si>
    <t>One-week online tailor-made skills training targeting an average of 30 public officials on various aspects of African economic development and planning including;</t>
  </si>
  <si>
    <t>TOTAL BUDGET ESTIMATE FOR 2021</t>
  </si>
  <si>
    <t>2020 Budget</t>
  </si>
  <si>
    <t>2021 IDEP Resources</t>
  </si>
  <si>
    <t>2021 UN Grant Resources</t>
  </si>
  <si>
    <t xml:space="preserve">Business Development </t>
  </si>
  <si>
    <t>Fellowships &amp; Miscellaneous services</t>
  </si>
  <si>
    <t>Monitoring &amp; Evaluation</t>
  </si>
  <si>
    <t>Business Development</t>
  </si>
  <si>
    <t>Coordination Salaries</t>
  </si>
  <si>
    <t>2021 BREAKDOWN OF BUDGET</t>
  </si>
  <si>
    <t>SOURCES OF FUNDING FOR THE 2021</t>
  </si>
  <si>
    <t>FOR THE YEAR 2021</t>
  </si>
  <si>
    <t>UN Grant + RPTC</t>
  </si>
  <si>
    <t>Member States &amp; ECA Support</t>
  </si>
  <si>
    <t>Other Extra Budgetary</t>
  </si>
  <si>
    <t>22 online courses and 3 in-situ courses</t>
  </si>
  <si>
    <t>Provisional</t>
  </si>
  <si>
    <t>To cover interpretation and platform rental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</si>
</sst>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7" x14ac:knownFonts="1">
    <font>
      <sz val="10"/>
      <name val="Arial"/>
    </font>
    <font>
      <sz val="10"/>
      <name val="Arial"/>
      <family val="2"/>
    </font>
    <font>
      <b/>
      <sz val="18"/>
      <name val="Times New Roman"/>
      <family val="1"/>
    </font>
    <font>
      <b/>
      <sz val="12"/>
      <name val="Times New Roman"/>
      <family val="1"/>
    </font>
    <font>
      <sz val="10"/>
      <name val="Arial"/>
      <family val="2"/>
    </font>
    <font>
      <b/>
      <sz val="14"/>
      <name val="Times New Roman"/>
      <family val="1"/>
    </font>
    <font>
      <sz val="9"/>
      <name val="Arial"/>
      <family val="2"/>
    </font>
    <font>
      <b/>
      <sz val="9"/>
      <name val="Times New Roman"/>
      <family val="1"/>
    </font>
    <font>
      <b/>
      <sz val="9"/>
      <name val="Arial"/>
      <family val="2"/>
    </font>
    <font>
      <sz val="9"/>
      <name val="Times New Roman"/>
      <family val="1"/>
    </font>
    <font>
      <b/>
      <sz val="14"/>
      <name val="Arial"/>
      <family val="2"/>
    </font>
    <font>
      <b/>
      <sz val="16"/>
      <name val="Arial"/>
      <family val="2"/>
    </font>
    <font>
      <b/>
      <sz val="12"/>
      <name val="Arial"/>
      <family val="2"/>
    </font>
    <font>
      <sz val="16"/>
      <name val="Arial"/>
      <family val="2"/>
    </font>
    <font>
      <sz val="12"/>
      <name val="Arial"/>
      <family val="2"/>
    </font>
    <font>
      <sz val="1"/>
      <color indexed="8"/>
      <name val="Courier"/>
      <family val="3"/>
    </font>
    <font>
      <sz val="14"/>
      <name val="Arial"/>
      <family val="2"/>
    </font>
    <font>
      <sz val="12"/>
      <name val="Times New Roman"/>
      <family val="1"/>
    </font>
    <font>
      <b/>
      <sz val="10"/>
      <name val="Arial"/>
      <family val="2"/>
    </font>
    <font>
      <sz val="10"/>
      <name val="Arial"/>
      <family val="2"/>
    </font>
    <font>
      <b/>
      <sz val="11"/>
      <name val="Times New Roman"/>
      <family val="1"/>
    </font>
    <font>
      <sz val="8"/>
      <name val="Arial"/>
      <family val="2"/>
    </font>
    <font>
      <sz val="10"/>
      <color theme="1"/>
      <name val="Arial"/>
      <family val="2"/>
    </font>
    <font>
      <b/>
      <sz val="10"/>
      <color theme="1"/>
      <name val="Arial"/>
      <family val="2"/>
    </font>
    <font>
      <b/>
      <sz val="12"/>
      <color theme="1"/>
      <name val="Arial"/>
      <family val="2"/>
    </font>
    <font>
      <b/>
      <i/>
      <sz val="10"/>
      <color theme="1"/>
      <name val="Arial"/>
      <family val="2"/>
    </font>
    <font>
      <sz val="9"/>
      <color indexed="81"/>
      <name val="Tahoma"/>
      <family val="2"/>
    </font>
    <font>
      <b/>
      <sz val="9"/>
      <color indexed="81"/>
      <name val="Tahoma"/>
      <family val="2"/>
    </font>
    <font>
      <i/>
      <sz val="7"/>
      <color rgb="FF000000"/>
      <name val="Times New Roman"/>
      <family val="1"/>
    </font>
    <font>
      <b/>
      <sz val="8.5"/>
      <color rgb="FF000000"/>
      <name val="Times New Roman"/>
      <family val="1"/>
    </font>
    <font>
      <i/>
      <sz val="8.5"/>
      <color rgb="FF000000"/>
      <name val="Times New Roman"/>
      <family val="1"/>
    </font>
    <font>
      <sz val="8.5"/>
      <color rgb="FF000000"/>
      <name val="Times New Roman"/>
      <family val="1"/>
    </font>
    <font>
      <sz val="7"/>
      <name val="Times New Roman"/>
      <family val="1"/>
    </font>
    <font>
      <sz val="8.5"/>
      <name val="Times New Roman"/>
      <family val="1"/>
    </font>
    <font>
      <b/>
      <sz val="8.5"/>
      <name val="Times New Roman"/>
      <family val="1"/>
    </font>
    <font>
      <b/>
      <sz val="12"/>
      <color rgb="FF000000"/>
      <name val="Times New Roman"/>
      <family val="1"/>
    </font>
    <font>
      <sz val="9"/>
      <color rgb="FFFF0000"/>
      <name val="Times New Roman"/>
      <family val="1"/>
    </font>
  </fonts>
  <fills count="2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gray125">
        <bgColor rgb="FFDFDFDF"/>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s>
  <borders count="78">
    <border>
      <left/>
      <right/>
      <top/>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diagonal/>
    </border>
    <border>
      <left style="thin">
        <color auto="1"/>
      </left>
      <right style="medium">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double">
        <color auto="1"/>
      </left>
      <right style="medium">
        <color auto="1"/>
      </right>
      <top style="double">
        <color auto="1"/>
      </top>
      <bottom/>
      <diagonal/>
    </border>
    <border>
      <left style="double">
        <color auto="1"/>
      </left>
      <right style="medium">
        <color auto="1"/>
      </right>
      <top/>
      <bottom style="medium">
        <color auto="1"/>
      </bottom>
      <diagonal/>
    </border>
    <border>
      <left/>
      <right style="medium">
        <color auto="1"/>
      </right>
      <top style="double">
        <color auto="1"/>
      </top>
      <bottom style="medium">
        <color auto="1"/>
      </bottom>
      <diagonal/>
    </border>
    <border>
      <left/>
      <right style="double">
        <color auto="1"/>
      </right>
      <top style="double">
        <color auto="1"/>
      </top>
      <bottom style="medium">
        <color auto="1"/>
      </bottom>
      <diagonal/>
    </border>
    <border>
      <left/>
      <right style="double">
        <color auto="1"/>
      </right>
      <top/>
      <bottom style="medium">
        <color auto="1"/>
      </bottom>
      <diagonal/>
    </border>
    <border>
      <left style="double">
        <color auto="1"/>
      </left>
      <right style="medium">
        <color auto="1"/>
      </right>
      <top/>
      <bottom style="double">
        <color auto="1"/>
      </bottom>
      <diagonal/>
    </border>
    <border>
      <left/>
      <right style="medium">
        <color auto="1"/>
      </right>
      <top/>
      <bottom style="double">
        <color auto="1"/>
      </bottom>
      <diagonal/>
    </border>
    <border>
      <left/>
      <right style="double">
        <color auto="1"/>
      </right>
      <top/>
      <bottom style="double">
        <color auto="1"/>
      </bottom>
      <diagonal/>
    </border>
    <border>
      <left style="medium">
        <color auto="1"/>
      </left>
      <right/>
      <top style="double">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hair">
        <color auto="1"/>
      </top>
      <bottom style="thin">
        <color auto="1"/>
      </bottom>
      <diagonal/>
    </border>
    <border>
      <left/>
      <right/>
      <top style="medium">
        <color auto="1"/>
      </top>
      <bottom style="hair">
        <color auto="1"/>
      </bottom>
      <diagonal/>
    </border>
    <border>
      <left/>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right/>
      <top style="medium">
        <color indexed="64"/>
      </top>
      <bottom style="thick">
        <color indexed="64"/>
      </bottom>
      <diagonal/>
    </border>
    <border>
      <left/>
      <right/>
      <top/>
      <bottom style="thick">
        <color indexed="64"/>
      </bottom>
      <diagonal/>
    </border>
    <border>
      <left style="thin">
        <color auto="1"/>
      </left>
      <right style="slantDashDot">
        <color auto="1"/>
      </right>
      <top style="thin">
        <color auto="1"/>
      </top>
      <bottom style="medium">
        <color auto="1"/>
      </bottom>
      <diagonal/>
    </border>
  </borders>
  <cellStyleXfs count="11">
    <xf numFmtId="0" fontId="0" fillId="0" borderId="0"/>
    <xf numFmtId="0" fontId="15" fillId="0" borderId="0">
      <protection locked="0"/>
    </xf>
    <xf numFmtId="0" fontId="15" fillId="0" borderId="0">
      <protection locked="0"/>
    </xf>
    <xf numFmtId="0" fontId="15" fillId="0" borderId="0">
      <protection locked="0"/>
    </xf>
    <xf numFmtId="0" fontId="16" fillId="0" borderId="0" applyNumberFormat="0" applyFont="0" applyFill="0" applyBorder="0" applyAlignment="0" applyProtection="0"/>
    <xf numFmtId="0" fontId="16" fillId="0" borderId="0" applyNumberFormat="0" applyFont="0" applyFill="0" applyBorder="0" applyAlignment="0" applyProtection="0"/>
    <xf numFmtId="0" fontId="15" fillId="0" borderId="0">
      <protection locked="0"/>
    </xf>
    <xf numFmtId="0" fontId="15" fillId="0" borderId="0">
      <protection locked="0"/>
    </xf>
    <xf numFmtId="9" fontId="1"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cellStyleXfs>
  <cellXfs count="342">
    <xf numFmtId="0" fontId="0" fillId="0" borderId="0" xfId="0"/>
    <xf numFmtId="0" fontId="2" fillId="0" borderId="0" xfId="0" applyFont="1" applyAlignment="1">
      <alignment horizontal="center"/>
    </xf>
    <xf numFmtId="0" fontId="0" fillId="0" borderId="0" xfId="0" applyBorder="1"/>
    <xf numFmtId="0" fontId="6" fillId="0" borderId="0" xfId="0" applyFont="1"/>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0" borderId="0" xfId="0" applyFont="1" applyAlignment="1">
      <alignment vertical="center" wrapText="1"/>
    </xf>
    <xf numFmtId="0" fontId="0" fillId="0" borderId="0" xfId="0" applyAlignment="1">
      <alignment vertical="center" wrapText="1"/>
    </xf>
    <xf numFmtId="0" fontId="14" fillId="0" borderId="10" xfId="0" applyFont="1" applyBorder="1" applyAlignment="1">
      <alignment horizontal="center"/>
    </xf>
    <xf numFmtId="0" fontId="14" fillId="0" borderId="0" xfId="0" applyFont="1" applyBorder="1" applyAlignment="1">
      <alignment horizontal="center"/>
    </xf>
    <xf numFmtId="0" fontId="13" fillId="0" borderId="0" xfId="0" applyFont="1"/>
    <xf numFmtId="0" fontId="14" fillId="0" borderId="0" xfId="0" applyFont="1"/>
    <xf numFmtId="0" fontId="14" fillId="0" borderId="11" xfId="0" applyFont="1" applyBorder="1"/>
    <xf numFmtId="0" fontId="12" fillId="0" borderId="12" xfId="0" applyFont="1" applyBorder="1" applyAlignment="1">
      <alignment horizontal="center"/>
    </xf>
    <xf numFmtId="3" fontId="12" fillId="0" borderId="12" xfId="0" applyNumberFormat="1" applyFont="1" applyBorder="1"/>
    <xf numFmtId="0" fontId="11" fillId="0" borderId="13" xfId="0" applyFont="1" applyBorder="1" applyAlignment="1">
      <alignment horizontal="center"/>
    </xf>
    <xf numFmtId="0" fontId="11" fillId="0" borderId="0" xfId="0" applyFont="1" applyBorder="1" applyAlignment="1">
      <alignment horizontal="center"/>
    </xf>
    <xf numFmtId="3" fontId="11" fillId="0" borderId="13" xfId="0" applyNumberFormat="1" applyFont="1" applyBorder="1"/>
    <xf numFmtId="0" fontId="14" fillId="0" borderId="14" xfId="0" applyFont="1" applyBorder="1"/>
    <xf numFmtId="0" fontId="14" fillId="0" borderId="15" xfId="0" applyFont="1" applyBorder="1"/>
    <xf numFmtId="0" fontId="4" fillId="0" borderId="0" xfId="0" applyFont="1" applyFill="1" applyBorder="1" applyAlignment="1">
      <alignment vertical="center"/>
    </xf>
    <xf numFmtId="3" fontId="17" fillId="0" borderId="8" xfId="0" applyNumberFormat="1" applyFont="1" applyBorder="1" applyAlignment="1">
      <alignment vertical="center"/>
    </xf>
    <xf numFmtId="0" fontId="17" fillId="0" borderId="8" xfId="0" applyFont="1" applyBorder="1" applyAlignment="1">
      <alignment vertical="center"/>
    </xf>
    <xf numFmtId="0" fontId="17" fillId="0" borderId="7" xfId="0" applyFont="1" applyBorder="1" applyAlignment="1">
      <alignment horizontal="left" vertical="center"/>
    </xf>
    <xf numFmtId="0" fontId="0" fillId="0" borderId="0" xfId="0" applyFill="1" applyAlignment="1">
      <alignment vertical="center" wrapText="1"/>
    </xf>
    <xf numFmtId="0" fontId="12" fillId="0" borderId="8" xfId="0" applyFont="1" applyFill="1" applyBorder="1" applyAlignment="1">
      <alignment horizontal="center" vertical="center" wrapText="1"/>
    </xf>
    <xf numFmtId="9" fontId="12" fillId="2" borderId="8" xfId="9" applyFont="1" applyFill="1" applyBorder="1" applyAlignment="1">
      <alignment horizontal="center" vertical="center" wrapText="1"/>
    </xf>
    <xf numFmtId="0" fontId="18" fillId="0" borderId="0" xfId="0" applyFont="1"/>
    <xf numFmtId="0" fontId="19" fillId="0" borderId="0" xfId="0" applyFont="1"/>
    <xf numFmtId="0" fontId="20" fillId="0" borderId="2" xfId="0" applyFont="1" applyBorder="1" applyAlignment="1">
      <alignment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18" fillId="0" borderId="4" xfId="0" applyFont="1" applyBorder="1" applyAlignment="1">
      <alignment vertical="center"/>
    </xf>
    <xf numFmtId="0" fontId="19" fillId="0" borderId="5" xfId="0" applyFont="1" applyBorder="1" applyAlignment="1">
      <alignment vertical="center"/>
    </xf>
    <xf numFmtId="0" fontId="18" fillId="0" borderId="5" xfId="0" applyFont="1" applyBorder="1" applyAlignment="1">
      <alignment horizontal="center" vertical="center"/>
    </xf>
    <xf numFmtId="0" fontId="19" fillId="0" borderId="4" xfId="0" applyFont="1" applyBorder="1" applyAlignment="1">
      <alignment vertical="center"/>
    </xf>
    <xf numFmtId="0" fontId="18" fillId="0" borderId="16"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vertical="center"/>
    </xf>
    <xf numFmtId="0" fontId="14" fillId="0" borderId="0" xfId="0" applyFont="1" applyBorder="1" applyAlignment="1">
      <alignment horizontal="center" vertical="center"/>
    </xf>
    <xf numFmtId="3" fontId="14" fillId="0" borderId="13" xfId="0" applyNumberFormat="1" applyFont="1" applyBorder="1" applyAlignment="1">
      <alignment horizontal="center" vertical="center"/>
    </xf>
    <xf numFmtId="0" fontId="14" fillId="0" borderId="0" xfId="0" applyFont="1" applyBorder="1" applyAlignment="1">
      <alignment vertical="center"/>
    </xf>
    <xf numFmtId="3" fontId="14" fillId="0" borderId="13" xfId="0" applyNumberFormat="1" applyFont="1" applyBorder="1" applyAlignment="1">
      <alignment vertical="center"/>
    </xf>
    <xf numFmtId="0" fontId="14" fillId="0" borderId="13" xfId="0" applyFont="1" applyBorder="1" applyAlignment="1">
      <alignment horizontal="center" vertical="center"/>
    </xf>
    <xf numFmtId="3" fontId="14" fillId="0" borderId="18" xfId="0" applyNumberFormat="1" applyFont="1" applyBorder="1" applyAlignment="1">
      <alignment vertical="center"/>
    </xf>
    <xf numFmtId="0" fontId="14" fillId="0" borderId="10" xfId="0" applyFont="1" applyBorder="1" applyAlignment="1">
      <alignment vertical="center"/>
    </xf>
    <xf numFmtId="0" fontId="14" fillId="0" borderId="0" xfId="0" applyFont="1" applyAlignment="1">
      <alignment vertical="center"/>
    </xf>
    <xf numFmtId="0" fontId="0" fillId="0" borderId="0" xfId="0" applyAlignment="1">
      <alignment vertical="center"/>
    </xf>
    <xf numFmtId="3" fontId="0" fillId="0" borderId="0" xfId="0" applyNumberFormat="1"/>
    <xf numFmtId="0" fontId="9" fillId="0" borderId="24" xfId="0" applyFont="1" applyBorder="1" applyAlignment="1">
      <alignment horizontal="center" vertical="center"/>
    </xf>
    <xf numFmtId="0" fontId="9" fillId="0" borderId="25" xfId="0" applyFont="1" applyBorder="1" applyAlignment="1">
      <alignment vertical="center"/>
    </xf>
    <xf numFmtId="0" fontId="9" fillId="0" borderId="21" xfId="0" applyFont="1" applyBorder="1" applyAlignment="1">
      <alignment horizontal="center" vertical="center"/>
    </xf>
    <xf numFmtId="0" fontId="9" fillId="0" borderId="19"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9" fillId="0" borderId="27" xfId="0" applyFont="1" applyBorder="1" applyAlignment="1">
      <alignment vertical="center"/>
    </xf>
    <xf numFmtId="0" fontId="6" fillId="0" borderId="28" xfId="0" applyFont="1" applyBorder="1" applyAlignment="1">
      <alignment vertical="center"/>
    </xf>
    <xf numFmtId="0" fontId="7" fillId="0" borderId="29" xfId="0" applyFont="1" applyBorder="1" applyAlignment="1">
      <alignment horizontal="center" vertical="center"/>
    </xf>
    <xf numFmtId="3" fontId="9" fillId="3" borderId="25" xfId="0" applyNumberFormat="1" applyFont="1" applyFill="1" applyBorder="1" applyAlignment="1">
      <alignment horizontal="right" vertical="center"/>
    </xf>
    <xf numFmtId="0" fontId="18" fillId="0" borderId="0" xfId="0" applyFont="1" applyBorder="1"/>
    <xf numFmtId="0" fontId="9" fillId="0" borderId="19" xfId="0" applyFont="1" applyBorder="1" applyAlignment="1">
      <alignment vertical="center" wrapText="1"/>
    </xf>
    <xf numFmtId="0" fontId="7" fillId="4" borderId="38" xfId="0" applyFont="1" applyFill="1" applyBorder="1" applyAlignment="1">
      <alignment horizontal="center" vertical="center"/>
    </xf>
    <xf numFmtId="3" fontId="8" fillId="4" borderId="28" xfId="0" applyNumberFormat="1" applyFont="1" applyFill="1" applyBorder="1" applyAlignment="1">
      <alignment horizontal="right" vertical="center"/>
    </xf>
    <xf numFmtId="0" fontId="18" fillId="0" borderId="0" xfId="0" applyFont="1" applyAlignment="1">
      <alignment vertical="center"/>
    </xf>
    <xf numFmtId="0" fontId="12" fillId="0" borderId="0" xfId="0" applyFont="1" applyAlignment="1">
      <alignment vertical="center"/>
    </xf>
    <xf numFmtId="0" fontId="0" fillId="0" borderId="0" xfId="0" applyFill="1" applyAlignment="1">
      <alignment vertical="center"/>
    </xf>
    <xf numFmtId="3" fontId="0" fillId="0" borderId="0" xfId="0" applyNumberFormat="1" applyAlignment="1">
      <alignment vertical="center"/>
    </xf>
    <xf numFmtId="0" fontId="17" fillId="3" borderId="8" xfId="0" applyFont="1" applyFill="1" applyBorder="1" applyAlignment="1">
      <alignment vertical="center"/>
    </xf>
    <xf numFmtId="3" fontId="17" fillId="3" borderId="8" xfId="0" applyNumberFormat="1" applyFont="1" applyFill="1" applyBorder="1" applyAlignment="1">
      <alignment vertical="center"/>
    </xf>
    <xf numFmtId="0" fontId="17" fillId="3" borderId="7" xfId="0" applyFont="1" applyFill="1" applyBorder="1" applyAlignment="1">
      <alignment horizontal="left" vertical="center"/>
    </xf>
    <xf numFmtId="0" fontId="5" fillId="5" borderId="7" xfId="0" applyFont="1" applyFill="1" applyBorder="1" applyAlignment="1">
      <alignment horizontal="right" vertical="center"/>
    </xf>
    <xf numFmtId="0" fontId="5" fillId="5" borderId="8" xfId="0" applyFont="1" applyFill="1" applyBorder="1" applyAlignment="1">
      <alignment vertical="center"/>
    </xf>
    <xf numFmtId="3" fontId="5" fillId="5" borderId="8" xfId="0" applyNumberFormat="1" applyFont="1" applyFill="1" applyBorder="1" applyAlignment="1">
      <alignment vertical="center"/>
    </xf>
    <xf numFmtId="0" fontId="17" fillId="0" borderId="7" xfId="0" applyFont="1" applyBorder="1" applyAlignment="1">
      <alignment horizontal="left" vertical="center" wrapText="1"/>
    </xf>
    <xf numFmtId="10" fontId="0" fillId="0" borderId="0" xfId="8" applyNumberFormat="1" applyFont="1"/>
    <xf numFmtId="3" fontId="0" fillId="8" borderId="0" xfId="0" applyNumberFormat="1" applyFill="1"/>
    <xf numFmtId="3" fontId="0" fillId="6" borderId="0" xfId="0" applyNumberFormat="1" applyFill="1"/>
    <xf numFmtId="3" fontId="0" fillId="7" borderId="0" xfId="0" applyNumberFormat="1" applyFill="1"/>
    <xf numFmtId="3" fontId="0" fillId="9" borderId="0" xfId="0" applyNumberFormat="1" applyFill="1"/>
    <xf numFmtId="9" fontId="0" fillId="0" borderId="0" xfId="8" applyNumberFormat="1" applyFont="1"/>
    <xf numFmtId="0" fontId="3" fillId="10" borderId="16" xfId="0" applyFont="1" applyFill="1" applyBorder="1" applyAlignment="1">
      <alignment horizontal="center" vertical="center" wrapText="1"/>
    </xf>
    <xf numFmtId="0" fontId="3" fillId="10" borderId="47" xfId="0" applyFont="1" applyFill="1" applyBorder="1" applyAlignment="1">
      <alignment horizontal="center" vertical="center" wrapText="1"/>
    </xf>
    <xf numFmtId="0" fontId="17" fillId="0" borderId="44" xfId="0" applyFont="1" applyBorder="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right" vertical="center" wrapText="1"/>
    </xf>
    <xf numFmtId="0" fontId="3" fillId="0" borderId="50" xfId="0" applyFont="1" applyBorder="1" applyAlignment="1">
      <alignment horizontal="right" vertical="center" wrapText="1"/>
    </xf>
    <xf numFmtId="164" fontId="17" fillId="0" borderId="16" xfId="10" applyNumberFormat="1" applyFont="1" applyBorder="1" applyAlignment="1">
      <alignment horizontal="right" vertical="center" wrapText="1"/>
    </xf>
    <xf numFmtId="164" fontId="3" fillId="0" borderId="49" xfId="0" applyNumberFormat="1" applyFont="1" applyBorder="1" applyAlignment="1">
      <alignment horizontal="right" vertical="center" wrapText="1"/>
    </xf>
    <xf numFmtId="164" fontId="3" fillId="0" borderId="49" xfId="10" applyNumberFormat="1" applyFont="1" applyBorder="1" applyAlignment="1">
      <alignment horizontal="right" vertical="center" wrapText="1"/>
    </xf>
    <xf numFmtId="0" fontId="1" fillId="0" borderId="0" xfId="0" applyFont="1"/>
    <xf numFmtId="0" fontId="0" fillId="3" borderId="0" xfId="0" applyFill="1"/>
    <xf numFmtId="0" fontId="18" fillId="3" borderId="0" xfId="0" applyFont="1" applyFill="1"/>
    <xf numFmtId="0" fontId="18" fillId="3" borderId="53" xfId="0" applyFont="1" applyFill="1" applyBorder="1"/>
    <xf numFmtId="0" fontId="18" fillId="3" borderId="54" xfId="0" applyFont="1" applyFill="1" applyBorder="1"/>
    <xf numFmtId="0" fontId="18" fillId="3" borderId="28" xfId="0" applyFont="1" applyFill="1" applyBorder="1"/>
    <xf numFmtId="0" fontId="18" fillId="11" borderId="55" xfId="0" applyFont="1" applyFill="1" applyBorder="1"/>
    <xf numFmtId="164" fontId="18" fillId="11" borderId="55" xfId="0" applyNumberFormat="1" applyFont="1" applyFill="1" applyBorder="1"/>
    <xf numFmtId="164" fontId="18" fillId="3" borderId="56" xfId="10" applyNumberFormat="1" applyFont="1" applyFill="1" applyBorder="1"/>
    <xf numFmtId="164" fontId="18" fillId="3" borderId="7" xfId="10" applyNumberFormat="1" applyFont="1" applyFill="1" applyBorder="1"/>
    <xf numFmtId="164" fontId="18" fillId="3" borderId="37" xfId="10" applyNumberFormat="1" applyFont="1" applyFill="1" applyBorder="1"/>
    <xf numFmtId="9" fontId="18" fillId="11" borderId="55" xfId="0" applyNumberFormat="1" applyFont="1" applyFill="1" applyBorder="1" applyAlignment="1">
      <alignment horizontal="center"/>
    </xf>
    <xf numFmtId="9" fontId="18" fillId="3" borderId="57" xfId="8" applyFont="1" applyFill="1" applyBorder="1" applyAlignment="1">
      <alignment horizontal="center"/>
    </xf>
    <xf numFmtId="9" fontId="18" fillId="3" borderId="58" xfId="8" applyFont="1" applyFill="1" applyBorder="1" applyAlignment="1">
      <alignment horizontal="center"/>
    </xf>
    <xf numFmtId="9" fontId="18" fillId="3" borderId="59" xfId="8" applyFont="1" applyFill="1" applyBorder="1" applyAlignment="1">
      <alignment horizontal="center"/>
    </xf>
    <xf numFmtId="3" fontId="18" fillId="11" borderId="55" xfId="0" applyNumberFormat="1" applyFont="1" applyFill="1" applyBorder="1"/>
    <xf numFmtId="1" fontId="14" fillId="0" borderId="13" xfId="0" applyNumberFormat="1" applyFont="1" applyBorder="1" applyAlignment="1">
      <alignment horizontal="center" vertical="center"/>
    </xf>
    <xf numFmtId="3" fontId="3" fillId="0" borderId="29" xfId="0" applyNumberFormat="1" applyFont="1" applyBorder="1" applyAlignment="1">
      <alignment horizontal="right" vertical="center"/>
    </xf>
    <xf numFmtId="0" fontId="21" fillId="0" borderId="0" xfId="0" applyFont="1"/>
    <xf numFmtId="3" fontId="21" fillId="0" borderId="0" xfId="0" applyNumberFormat="1" applyFont="1"/>
    <xf numFmtId="164" fontId="0" fillId="0" borderId="0" xfId="10" applyNumberFormat="1" applyFont="1"/>
    <xf numFmtId="164" fontId="0" fillId="0" borderId="0" xfId="0" applyNumberFormat="1"/>
    <xf numFmtId="43" fontId="0" fillId="0" borderId="0" xfId="0" applyNumberFormat="1"/>
    <xf numFmtId="0" fontId="21" fillId="0" borderId="0" xfId="0" applyFont="1" applyAlignment="1">
      <alignment vertical="center"/>
    </xf>
    <xf numFmtId="0" fontId="21" fillId="0" borderId="0" xfId="0" applyFont="1" applyFill="1"/>
    <xf numFmtId="3" fontId="7" fillId="9" borderId="25" xfId="0" applyNumberFormat="1" applyFont="1" applyFill="1" applyBorder="1" applyAlignment="1">
      <alignment vertical="center"/>
    </xf>
    <xf numFmtId="0" fontId="22" fillId="5" borderId="7" xfId="0" applyFont="1" applyFill="1" applyBorder="1"/>
    <xf numFmtId="0" fontId="22" fillId="5" borderId="9" xfId="0" applyFont="1" applyFill="1" applyBorder="1"/>
    <xf numFmtId="0" fontId="23" fillId="5" borderId="9" xfId="0" applyFont="1" applyFill="1" applyBorder="1" applyAlignment="1">
      <alignment horizontal="center"/>
    </xf>
    <xf numFmtId="0" fontId="23" fillId="5" borderId="23" xfId="0" applyFont="1" applyFill="1" applyBorder="1" applyAlignment="1">
      <alignment horizontal="center"/>
    </xf>
    <xf numFmtId="0" fontId="22" fillId="0" borderId="0" xfId="0" applyFont="1"/>
    <xf numFmtId="0" fontId="22" fillId="4" borderId="9" xfId="0" applyFont="1" applyFill="1" applyBorder="1"/>
    <xf numFmtId="0" fontId="22" fillId="4" borderId="23" xfId="0" applyFont="1" applyFill="1" applyBorder="1"/>
    <xf numFmtId="0" fontId="22" fillId="0" borderId="61" xfId="0" applyFont="1" applyBorder="1"/>
    <xf numFmtId="0" fontId="22" fillId="0" borderId="61" xfId="0" applyFont="1" applyBorder="1" applyAlignment="1">
      <alignment horizontal="center"/>
    </xf>
    <xf numFmtId="0" fontId="23" fillId="5" borderId="8" xfId="0" applyFont="1" applyFill="1" applyBorder="1" applyAlignment="1">
      <alignment horizontal="center"/>
    </xf>
    <xf numFmtId="0" fontId="22" fillId="0" borderId="10" xfId="0" applyFont="1" applyBorder="1"/>
    <xf numFmtId="0" fontId="22" fillId="0" borderId="0" xfId="0" applyFont="1" applyBorder="1"/>
    <xf numFmtId="0" fontId="22" fillId="0" borderId="0" xfId="0" applyFont="1" applyBorder="1" applyAlignment="1">
      <alignment horizontal="center"/>
    </xf>
    <xf numFmtId="0" fontId="25" fillId="14" borderId="7" xfId="0" applyFont="1" applyFill="1" applyBorder="1"/>
    <xf numFmtId="0" fontId="22" fillId="14" borderId="9" xfId="0" applyFont="1" applyFill="1" applyBorder="1"/>
    <xf numFmtId="0" fontId="22" fillId="14" borderId="61" xfId="0" applyFont="1" applyFill="1" applyBorder="1"/>
    <xf numFmtId="0" fontId="22" fillId="14" borderId="62" xfId="0" applyFont="1" applyFill="1" applyBorder="1"/>
    <xf numFmtId="164" fontId="22" fillId="0" borderId="0" xfId="10" applyNumberFormat="1" applyFont="1" applyBorder="1" applyAlignment="1">
      <alignment horizontal="center"/>
    </xf>
    <xf numFmtId="0" fontId="22" fillId="0" borderId="8" xfId="0" applyFont="1" applyBorder="1" applyAlignment="1">
      <alignment horizontal="center"/>
    </xf>
    <xf numFmtId="164" fontId="22" fillId="0" borderId="8" xfId="10" applyNumberFormat="1" applyFont="1" applyBorder="1" applyAlignment="1">
      <alignment horizontal="center"/>
    </xf>
    <xf numFmtId="164" fontId="22" fillId="0" borderId="11" xfId="10" applyNumberFormat="1" applyFont="1" applyBorder="1" applyAlignment="1">
      <alignment horizontal="center"/>
    </xf>
    <xf numFmtId="0" fontId="24" fillId="4" borderId="7" xfId="0" applyFont="1" applyFill="1" applyBorder="1" applyAlignment="1">
      <alignment horizontal="left" vertical="center"/>
    </xf>
    <xf numFmtId="0" fontId="22" fillId="0" borderId="14" xfId="0" applyFont="1" applyBorder="1"/>
    <xf numFmtId="0" fontId="22" fillId="0" borderId="15" xfId="0" applyFont="1" applyBorder="1"/>
    <xf numFmtId="0" fontId="22" fillId="14" borderId="23" xfId="0" applyFont="1" applyFill="1" applyBorder="1"/>
    <xf numFmtId="0" fontId="22" fillId="0" borderId="15" xfId="0" applyFont="1" applyBorder="1" applyAlignment="1">
      <alignment horizontal="center"/>
    </xf>
    <xf numFmtId="164" fontId="22" fillId="0" borderId="15" xfId="10" applyNumberFormat="1" applyFont="1" applyBorder="1" applyAlignment="1">
      <alignment horizontal="center"/>
    </xf>
    <xf numFmtId="0" fontId="23" fillId="15" borderId="7" xfId="0" applyFont="1" applyFill="1" applyBorder="1"/>
    <xf numFmtId="0" fontId="22" fillId="15" borderId="9" xfId="0" applyFont="1" applyFill="1" applyBorder="1"/>
    <xf numFmtId="0" fontId="23" fillId="15" borderId="8" xfId="0" applyFont="1" applyFill="1" applyBorder="1" applyAlignment="1">
      <alignment horizontal="center"/>
    </xf>
    <xf numFmtId="164" fontId="23" fillId="15" borderId="8" xfId="10" applyNumberFormat="1" applyFont="1" applyFill="1" applyBorder="1" applyAlignment="1">
      <alignment horizontal="center"/>
    </xf>
    <xf numFmtId="0" fontId="22" fillId="15" borderId="8" xfId="0" applyFont="1" applyFill="1" applyBorder="1" applyAlignment="1">
      <alignment horizontal="center"/>
    </xf>
    <xf numFmtId="0" fontId="22" fillId="0" borderId="0" xfId="0" applyFont="1" applyAlignment="1">
      <alignment horizontal="center"/>
    </xf>
    <xf numFmtId="3" fontId="21" fillId="0" borderId="0" xfId="0" applyNumberFormat="1" applyFont="1" applyFill="1"/>
    <xf numFmtId="0" fontId="0" fillId="0" borderId="0" xfId="0" applyFill="1"/>
    <xf numFmtId="3" fontId="8" fillId="0" borderId="35" xfId="0" applyNumberFormat="1" applyFont="1" applyBorder="1" applyAlignment="1">
      <alignment horizontal="right" vertical="center"/>
    </xf>
    <xf numFmtId="3" fontId="9" fillId="3" borderId="19" xfId="0" applyNumberFormat="1" applyFont="1" applyFill="1" applyBorder="1" applyAlignment="1">
      <alignment horizontal="right" vertical="center"/>
    </xf>
    <xf numFmtId="3" fontId="9" fillId="3" borderId="65" xfId="0" applyNumberFormat="1" applyFont="1" applyFill="1" applyBorder="1" applyAlignment="1">
      <alignment horizontal="right" vertical="center"/>
    </xf>
    <xf numFmtId="3" fontId="9" fillId="4" borderId="66" xfId="0" applyNumberFormat="1" applyFont="1" applyFill="1" applyBorder="1" applyAlignment="1">
      <alignment horizontal="right" vertical="center"/>
    </xf>
    <xf numFmtId="3" fontId="9" fillId="4" borderId="67" xfId="0" applyNumberFormat="1" applyFont="1" applyFill="1" applyBorder="1" applyAlignment="1">
      <alignment horizontal="right" vertical="center"/>
    </xf>
    <xf numFmtId="0" fontId="0" fillId="3" borderId="0" xfId="0" applyFill="1" applyBorder="1"/>
    <xf numFmtId="3" fontId="14" fillId="0" borderId="0" xfId="0" applyNumberFormat="1" applyFont="1" applyAlignment="1">
      <alignment vertical="center"/>
    </xf>
    <xf numFmtId="0" fontId="3" fillId="0" borderId="7" xfId="0" applyFont="1" applyFill="1" applyBorder="1" applyAlignment="1">
      <alignment horizontal="left" vertical="center" wrapText="1"/>
    </xf>
    <xf numFmtId="0" fontId="3" fillId="3" borderId="8" xfId="0" applyFont="1" applyFill="1" applyBorder="1" applyAlignment="1">
      <alignment horizontal="left" vertical="center"/>
    </xf>
    <xf numFmtId="0" fontId="3" fillId="0" borderId="7" xfId="0" applyFont="1" applyBorder="1" applyAlignment="1">
      <alignment horizontal="left" vertical="center"/>
    </xf>
    <xf numFmtId="0" fontId="17" fillId="0" borderId="8" xfId="0" applyFont="1" applyBorder="1" applyAlignment="1">
      <alignment horizontal="left" vertical="center"/>
    </xf>
    <xf numFmtId="3" fontId="5" fillId="16" borderId="8" xfId="0" applyNumberFormat="1" applyFont="1" applyFill="1" applyBorder="1" applyAlignment="1">
      <alignment vertical="center"/>
    </xf>
    <xf numFmtId="0" fontId="17" fillId="17" borderId="8" xfId="0" applyFont="1" applyFill="1" applyBorder="1" applyAlignment="1">
      <alignment vertical="center"/>
    </xf>
    <xf numFmtId="3" fontId="0" fillId="18" borderId="0" xfId="0" applyNumberFormat="1" applyFill="1"/>
    <xf numFmtId="0" fontId="17" fillId="17" borderId="8" xfId="0" applyFont="1" applyFill="1" applyBorder="1" applyAlignment="1">
      <alignment horizontal="left" vertical="center" wrapText="1"/>
    </xf>
    <xf numFmtId="0" fontId="18" fillId="5" borderId="3" xfId="0" applyFont="1" applyFill="1" applyBorder="1" applyAlignment="1">
      <alignment horizontal="center"/>
    </xf>
    <xf numFmtId="0" fontId="18" fillId="3" borderId="70" xfId="0" applyFont="1" applyFill="1" applyBorder="1"/>
    <xf numFmtId="0" fontId="18" fillId="3" borderId="71" xfId="0" applyFont="1" applyFill="1" applyBorder="1"/>
    <xf numFmtId="0" fontId="18" fillId="3" borderId="72" xfId="0" applyFont="1" applyFill="1" applyBorder="1"/>
    <xf numFmtId="0" fontId="18" fillId="5" borderId="2" xfId="0" applyFont="1" applyFill="1" applyBorder="1" applyAlignment="1">
      <alignment horizontal="center"/>
    </xf>
    <xf numFmtId="3" fontId="18" fillId="0" borderId="57" xfId="0" applyNumberFormat="1" applyFont="1" applyFill="1" applyBorder="1"/>
    <xf numFmtId="3" fontId="18" fillId="0" borderId="58" xfId="0" applyNumberFormat="1" applyFont="1" applyFill="1" applyBorder="1"/>
    <xf numFmtId="3" fontId="18" fillId="0" borderId="59" xfId="0" applyNumberFormat="1" applyFont="1" applyFill="1" applyBorder="1"/>
    <xf numFmtId="9" fontId="18" fillId="3" borderId="73" xfId="8" applyFont="1" applyFill="1" applyBorder="1" applyAlignment="1">
      <alignment horizontal="center"/>
    </xf>
    <xf numFmtId="3" fontId="0" fillId="19" borderId="0" xfId="0" applyNumberFormat="1" applyFill="1"/>
    <xf numFmtId="0" fontId="18" fillId="5" borderId="42" xfId="0" applyFont="1" applyFill="1" applyBorder="1" applyAlignment="1"/>
    <xf numFmtId="0" fontId="18" fillId="5" borderId="60" xfId="0" applyFont="1" applyFill="1" applyBorder="1" applyAlignment="1"/>
    <xf numFmtId="0" fontId="18" fillId="5" borderId="17" xfId="0" applyFont="1" applyFill="1" applyBorder="1" applyAlignment="1"/>
    <xf numFmtId="0" fontId="18" fillId="3" borderId="60" xfId="0" applyFont="1" applyFill="1" applyBorder="1" applyAlignment="1"/>
    <xf numFmtId="0" fontId="18" fillId="3" borderId="0" xfId="0" applyFont="1" applyFill="1" applyBorder="1" applyAlignment="1"/>
    <xf numFmtId="9" fontId="17" fillId="0" borderId="16" xfId="8" applyFont="1" applyBorder="1" applyAlignment="1">
      <alignment horizontal="center" vertical="center" wrapText="1"/>
    </xf>
    <xf numFmtId="9" fontId="17" fillId="0" borderId="52" xfId="8" applyFont="1" applyBorder="1" applyAlignment="1">
      <alignment horizontal="center" vertical="center" wrapText="1"/>
    </xf>
    <xf numFmtId="0" fontId="1" fillId="3" borderId="0" xfId="0" applyFont="1" applyFill="1"/>
    <xf numFmtId="43" fontId="0" fillId="3" borderId="0" xfId="10" applyFont="1" applyFill="1"/>
    <xf numFmtId="0" fontId="18" fillId="3" borderId="0" xfId="0" applyFont="1" applyFill="1" applyBorder="1"/>
    <xf numFmtId="0" fontId="18" fillId="3" borderId="1" xfId="0" applyFont="1" applyFill="1" applyBorder="1" applyAlignment="1"/>
    <xf numFmtId="0" fontId="0" fillId="0" borderId="0" xfId="0" applyNumberFormat="1"/>
    <xf numFmtId="0" fontId="12" fillId="2" borderId="8" xfId="0" applyFont="1" applyFill="1" applyBorder="1" applyAlignment="1">
      <alignment horizontal="left" vertical="center" wrapText="1"/>
    </xf>
    <xf numFmtId="0" fontId="0" fillId="5" borderId="74" xfId="0" applyFill="1" applyBorder="1"/>
    <xf numFmtId="164" fontId="22" fillId="0" borderId="0" xfId="0" applyNumberFormat="1" applyFont="1" applyAlignment="1">
      <alignment horizontal="center"/>
    </xf>
    <xf numFmtId="43" fontId="14" fillId="0" borderId="0" xfId="10" applyFont="1" applyAlignment="1">
      <alignment vertical="center"/>
    </xf>
    <xf numFmtId="43" fontId="14" fillId="0" borderId="0" xfId="10" applyFont="1"/>
    <xf numFmtId="3" fontId="18" fillId="8" borderId="0" xfId="0" applyNumberFormat="1" applyFont="1" applyFill="1"/>
    <xf numFmtId="0" fontId="0" fillId="0" borderId="0" xfId="0" applyAlignment="1">
      <alignment horizontal="right"/>
    </xf>
    <xf numFmtId="0" fontId="22" fillId="0" borderId="0" xfId="0" applyFont="1" applyBorder="1" applyAlignment="1">
      <alignment horizontal="left" wrapText="1"/>
    </xf>
    <xf numFmtId="0" fontId="22" fillId="0" borderId="9" xfId="0" applyFont="1" applyBorder="1" applyAlignment="1">
      <alignment horizontal="left" wrapText="1"/>
    </xf>
    <xf numFmtId="0" fontId="28" fillId="0" borderId="75" xfId="0" applyFont="1" applyBorder="1" applyAlignment="1">
      <alignment horizontal="left" vertical="center" wrapText="1" indent="2"/>
    </xf>
    <xf numFmtId="0" fontId="28" fillId="0" borderId="75" xfId="0" applyFont="1" applyBorder="1" applyAlignment="1">
      <alignment horizontal="right" vertical="center" wrapText="1"/>
    </xf>
    <xf numFmtId="0" fontId="29" fillId="0" borderId="0" xfId="0" applyFont="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wrapText="1"/>
    </xf>
    <xf numFmtId="0" fontId="31" fillId="0" borderId="0" xfId="0" applyFont="1" applyAlignment="1">
      <alignment horizontal="right" vertical="center" wrapText="1"/>
    </xf>
    <xf numFmtId="0" fontId="9" fillId="0" borderId="0" xfId="0" applyFont="1" applyAlignment="1">
      <alignment horizontal="justify" vertical="center" wrapText="1"/>
    </xf>
    <xf numFmtId="0" fontId="33" fillId="0" borderId="0" xfId="0" applyFont="1" applyAlignment="1">
      <alignment horizontal="justify" vertical="center" wrapText="1"/>
    </xf>
    <xf numFmtId="0" fontId="31" fillId="0" borderId="0" xfId="0" applyFont="1" applyAlignment="1">
      <alignment horizontal="justify" vertical="center" wrapText="1"/>
    </xf>
    <xf numFmtId="0" fontId="31" fillId="0" borderId="0" xfId="0" applyFont="1" applyAlignment="1">
      <alignment vertical="center" wrapText="1"/>
    </xf>
    <xf numFmtId="0" fontId="22" fillId="0" borderId="0" xfId="0" applyFont="1" applyBorder="1" applyAlignment="1">
      <alignment horizontal="left" wrapText="1"/>
    </xf>
    <xf numFmtId="0" fontId="22" fillId="0" borderId="9" xfId="0" applyFont="1" applyBorder="1" applyAlignment="1">
      <alignment horizontal="left" wrapText="1"/>
    </xf>
    <xf numFmtId="0" fontId="29" fillId="0" borderId="0" xfId="0" applyFont="1" applyAlignment="1">
      <alignment horizontal="left" vertical="center" wrapText="1" indent="1"/>
    </xf>
    <xf numFmtId="0" fontId="34" fillId="0" borderId="0" xfId="0" applyFont="1" applyAlignment="1">
      <alignment horizontal="justify" vertical="center" wrapText="1"/>
    </xf>
    <xf numFmtId="0" fontId="9" fillId="0" borderId="0" xfId="0" applyFont="1" applyAlignment="1">
      <alignment vertical="center" wrapText="1"/>
    </xf>
    <xf numFmtId="164" fontId="22" fillId="0" borderId="8" xfId="10" applyNumberFormat="1" applyFont="1" applyFill="1" applyBorder="1" applyAlignment="1">
      <alignment horizontal="center"/>
    </xf>
    <xf numFmtId="164" fontId="22" fillId="0" borderId="11" xfId="10" applyNumberFormat="1" applyFont="1" applyFill="1" applyBorder="1" applyAlignment="1">
      <alignment horizontal="center"/>
    </xf>
    <xf numFmtId="164" fontId="22" fillId="0" borderId="0" xfId="10" applyNumberFormat="1" applyFont="1" applyFill="1" applyBorder="1" applyAlignment="1">
      <alignment horizontal="center"/>
    </xf>
    <xf numFmtId="0" fontId="35" fillId="0" borderId="0" xfId="0" applyFont="1" applyAlignment="1">
      <alignment horizontal="justify" vertical="center" wrapText="1"/>
    </xf>
    <xf numFmtId="0" fontId="22" fillId="0" borderId="10" xfId="0" applyFont="1" applyBorder="1" applyAlignment="1"/>
    <xf numFmtId="0" fontId="22" fillId="0" borderId="0" xfId="0" applyFont="1" applyBorder="1" applyAlignment="1"/>
    <xf numFmtId="0" fontId="22" fillId="0" borderId="0" xfId="0" applyFont="1" applyAlignment="1"/>
    <xf numFmtId="43" fontId="0" fillId="0" borderId="0" xfId="10" applyFont="1"/>
    <xf numFmtId="0" fontId="18" fillId="0" borderId="0" xfId="0" applyFont="1" applyAlignment="1">
      <alignment horizontal="right"/>
    </xf>
    <xf numFmtId="164" fontId="18" fillId="0" borderId="9" xfId="10" applyNumberFormat="1" applyFont="1" applyBorder="1"/>
    <xf numFmtId="3" fontId="8" fillId="4" borderId="77" xfId="0" applyNumberFormat="1" applyFont="1" applyFill="1" applyBorder="1" applyAlignment="1">
      <alignment horizontal="right" vertical="center"/>
    </xf>
    <xf numFmtId="164" fontId="18" fillId="0" borderId="0" xfId="0" applyNumberFormat="1" applyFont="1"/>
    <xf numFmtId="9" fontId="0" fillId="0" borderId="0" xfId="8" applyFont="1"/>
    <xf numFmtId="0" fontId="18" fillId="0" borderId="0" xfId="0" applyFont="1" applyFill="1" applyBorder="1" applyAlignment="1"/>
    <xf numFmtId="0" fontId="18" fillId="5" borderId="42" xfId="0" applyFont="1" applyFill="1" applyBorder="1" applyAlignment="1">
      <alignment horizontal="center"/>
    </xf>
    <xf numFmtId="0" fontId="18" fillId="5" borderId="17" xfId="0" applyFont="1" applyFill="1" applyBorder="1" applyAlignment="1">
      <alignment horizont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36" xfId="0" applyFont="1" applyFill="1" applyBorder="1" applyAlignment="1">
      <alignment horizontal="center" vertical="center"/>
    </xf>
    <xf numFmtId="164" fontId="7" fillId="9" borderId="19" xfId="10" applyNumberFormat="1" applyFont="1" applyFill="1" applyBorder="1" applyAlignment="1">
      <alignment vertical="center"/>
    </xf>
    <xf numFmtId="164" fontId="9" fillId="12" borderId="30" xfId="10" applyNumberFormat="1" applyFont="1" applyFill="1" applyBorder="1" applyAlignment="1">
      <alignment horizontal="right" vertical="center"/>
    </xf>
    <xf numFmtId="164" fontId="9" fillId="4" borderId="30" xfId="10" applyNumberFormat="1" applyFont="1" applyFill="1" applyBorder="1" applyAlignment="1">
      <alignment horizontal="right" vertical="center"/>
    </xf>
    <xf numFmtId="164" fontId="9" fillId="12" borderId="20" xfId="10" applyNumberFormat="1" applyFont="1" applyFill="1" applyBorder="1" applyAlignment="1">
      <alignment horizontal="right" vertical="center"/>
    </xf>
    <xf numFmtId="164" fontId="9" fillId="4" borderId="20" xfId="10" applyNumberFormat="1" applyFont="1" applyFill="1" applyBorder="1" applyAlignment="1">
      <alignment horizontal="right" vertical="center"/>
    </xf>
    <xf numFmtId="164" fontId="9" fillId="13" borderId="22" xfId="10" applyNumberFormat="1" applyFont="1" applyFill="1" applyBorder="1" applyAlignment="1">
      <alignment horizontal="right" vertical="center"/>
    </xf>
    <xf numFmtId="164" fontId="7" fillId="9" borderId="25" xfId="10" applyNumberFormat="1" applyFont="1" applyFill="1" applyBorder="1" applyAlignment="1">
      <alignment vertical="center"/>
    </xf>
    <xf numFmtId="164" fontId="3" fillId="0" borderId="29" xfId="10" applyNumberFormat="1" applyFont="1" applyBorder="1" applyAlignment="1">
      <alignment horizontal="right" vertical="center"/>
    </xf>
    <xf numFmtId="164" fontId="9" fillId="13" borderId="32" xfId="10" applyNumberFormat="1" applyFont="1" applyFill="1" applyBorder="1" applyAlignment="1">
      <alignment horizontal="right" vertical="center"/>
    </xf>
    <xf numFmtId="164" fontId="36" fillId="13" borderId="22" xfId="10" applyNumberFormat="1" applyFont="1" applyFill="1" applyBorder="1" applyAlignment="1">
      <alignment horizontal="right" vertical="center"/>
    </xf>
    <xf numFmtId="164" fontId="9" fillId="12" borderId="31" xfId="10" applyNumberFormat="1" applyFont="1" applyFill="1" applyBorder="1" applyAlignment="1">
      <alignment horizontal="right" vertical="center"/>
    </xf>
    <xf numFmtId="164" fontId="9" fillId="4" borderId="31" xfId="10" applyNumberFormat="1" applyFont="1" applyFill="1" applyBorder="1" applyAlignment="1">
      <alignment horizontal="right" vertical="center"/>
    </xf>
    <xf numFmtId="164" fontId="9" fillId="15" borderId="25" xfId="10" applyNumberFormat="1" applyFont="1" applyFill="1" applyBorder="1" applyAlignment="1">
      <alignment horizontal="right" vertical="center"/>
    </xf>
    <xf numFmtId="164" fontId="9" fillId="15" borderId="19" xfId="10" applyNumberFormat="1" applyFont="1" applyFill="1" applyBorder="1" applyAlignment="1">
      <alignment horizontal="right" vertical="center"/>
    </xf>
    <xf numFmtId="164" fontId="9" fillId="15" borderId="27" xfId="10" applyNumberFormat="1" applyFont="1" applyFill="1" applyBorder="1" applyAlignment="1">
      <alignment horizontal="right" vertical="center"/>
    </xf>
    <xf numFmtId="164" fontId="9" fillId="20" borderId="30" xfId="10" applyNumberFormat="1" applyFont="1" applyFill="1" applyBorder="1" applyAlignment="1">
      <alignment horizontal="right" vertical="center"/>
    </xf>
    <xf numFmtId="164" fontId="9" fillId="20" borderId="20" xfId="10" applyNumberFormat="1" applyFont="1" applyFill="1" applyBorder="1" applyAlignment="1">
      <alignment horizontal="right" vertical="center"/>
    </xf>
    <xf numFmtId="164" fontId="36" fillId="20" borderId="20" xfId="10" applyNumberFormat="1" applyFont="1" applyFill="1" applyBorder="1" applyAlignment="1">
      <alignment horizontal="right" vertical="center"/>
    </xf>
    <xf numFmtId="164" fontId="36" fillId="20" borderId="20" xfId="10" applyNumberFormat="1" applyFont="1" applyFill="1" applyBorder="1" applyAlignment="1">
      <alignment vertical="center"/>
    </xf>
    <xf numFmtId="164" fontId="9" fillId="20" borderId="31" xfId="10" applyNumberFormat="1" applyFont="1" applyFill="1" applyBorder="1" applyAlignment="1">
      <alignment horizontal="right" vertical="center"/>
    </xf>
    <xf numFmtId="164" fontId="0" fillId="0" borderId="15" xfId="10" applyNumberFormat="1" applyFont="1" applyBorder="1"/>
    <xf numFmtId="0" fontId="18" fillId="20" borderId="0" xfId="0" applyFont="1" applyFill="1" applyAlignment="1">
      <alignment horizontal="right"/>
    </xf>
    <xf numFmtId="164" fontId="0" fillId="20" borderId="0" xfId="10" applyNumberFormat="1" applyFont="1" applyFill="1"/>
    <xf numFmtId="43" fontId="0" fillId="20" borderId="0" xfId="10" applyFont="1" applyFill="1"/>
    <xf numFmtId="164" fontId="18" fillId="20" borderId="9" xfId="10" applyNumberFormat="1" applyFont="1" applyFill="1" applyBorder="1"/>
    <xf numFmtId="164" fontId="0" fillId="20" borderId="0" xfId="0" applyNumberFormat="1" applyFill="1"/>
    <xf numFmtId="164" fontId="0" fillId="0" borderId="0" xfId="0" applyNumberFormat="1" applyFill="1"/>
    <xf numFmtId="3" fontId="0" fillId="3" borderId="0" xfId="0" applyNumberFormat="1" applyFill="1"/>
    <xf numFmtId="0" fontId="31" fillId="8" borderId="0" xfId="0" applyFont="1" applyFill="1" applyAlignment="1">
      <alignment horizontal="right" vertical="center" wrapText="1"/>
    </xf>
    <xf numFmtId="0" fontId="31" fillId="8" borderId="0" xfId="0" applyFont="1" applyFill="1" applyAlignment="1">
      <alignment vertical="center" wrapText="1"/>
    </xf>
    <xf numFmtId="0" fontId="33" fillId="8" borderId="0" xfId="0" applyFont="1" applyFill="1" applyAlignment="1">
      <alignment horizontal="right" vertical="center" wrapText="1"/>
    </xf>
    <xf numFmtId="0" fontId="31" fillId="0" borderId="0" xfId="0" applyFont="1" applyFill="1" applyAlignment="1">
      <alignment horizontal="right" vertical="center" wrapText="1"/>
    </xf>
    <xf numFmtId="3" fontId="6" fillId="21" borderId="25" xfId="0" applyNumberFormat="1" applyFont="1" applyFill="1" applyBorder="1" applyAlignment="1">
      <alignment horizontal="right" vertical="center"/>
    </xf>
    <xf numFmtId="3" fontId="6" fillId="21" borderId="19" xfId="0" applyNumberFormat="1" applyFont="1" applyFill="1" applyBorder="1" applyAlignment="1">
      <alignment horizontal="right" vertical="center"/>
    </xf>
    <xf numFmtId="3" fontId="8" fillId="21" borderId="29" xfId="0" applyNumberFormat="1" applyFont="1" applyFill="1" applyBorder="1" applyAlignment="1">
      <alignment horizontal="right" vertical="center"/>
    </xf>
    <xf numFmtId="3" fontId="8" fillId="4" borderId="68" xfId="0" applyNumberFormat="1" applyFont="1" applyFill="1" applyBorder="1" applyAlignment="1">
      <alignment horizontal="right" vertical="center"/>
    </xf>
    <xf numFmtId="3" fontId="8" fillId="4" borderId="69" xfId="0" applyNumberFormat="1" applyFont="1" applyFill="1" applyBorder="1" applyAlignment="1">
      <alignment horizontal="right" vertical="center"/>
    </xf>
    <xf numFmtId="0" fontId="3" fillId="10" borderId="43" xfId="0" applyFont="1" applyFill="1" applyBorder="1" applyAlignment="1">
      <alignment horizontal="left" vertical="center" wrapText="1"/>
    </xf>
    <xf numFmtId="0" fontId="3" fillId="10" borderId="44" xfId="0" applyFont="1" applyFill="1" applyBorder="1" applyAlignment="1">
      <alignment horizontal="left" vertical="center" wrapText="1"/>
    </xf>
    <xf numFmtId="0" fontId="3" fillId="10" borderId="51"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3" fillId="10" borderId="46" xfId="0" applyFont="1" applyFill="1" applyBorder="1" applyAlignment="1">
      <alignment horizontal="center" vertical="center" wrapText="1"/>
    </xf>
    <xf numFmtId="0" fontId="18" fillId="5" borderId="5"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0" applyFont="1" applyFill="1" applyBorder="1" applyAlignment="1">
      <alignment horizontal="left" vertical="center"/>
    </xf>
    <xf numFmtId="0" fontId="18" fillId="5" borderId="41" xfId="0" applyFont="1" applyFill="1" applyBorder="1" applyAlignment="1">
      <alignment horizontal="left" vertical="center"/>
    </xf>
    <xf numFmtId="0" fontId="18" fillId="5" borderId="1" xfId="0" applyFont="1" applyFill="1" applyBorder="1" applyAlignment="1">
      <alignment horizontal="center"/>
    </xf>
    <xf numFmtId="0" fontId="18" fillId="5" borderId="16" xfId="0" applyFont="1" applyFill="1" applyBorder="1" applyAlignment="1">
      <alignment horizontal="center"/>
    </xf>
    <xf numFmtId="0" fontId="10" fillId="0" borderId="0" xfId="0" applyFont="1" applyAlignment="1">
      <alignment horizontal="right"/>
    </xf>
    <xf numFmtId="0" fontId="0" fillId="0" borderId="0" xfId="0" applyAlignment="1">
      <alignment horizontal="right"/>
    </xf>
    <xf numFmtId="0" fontId="11" fillId="0" borderId="0" xfId="0" applyFont="1" applyAlignment="1">
      <alignment horizontal="center"/>
    </xf>
    <xf numFmtId="0" fontId="7" fillId="0" borderId="3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5" xfId="0" applyFont="1" applyBorder="1" applyAlignment="1">
      <alignment horizontal="center" vertical="center" wrapText="1"/>
    </xf>
    <xf numFmtId="0" fontId="5" fillId="0" borderId="42" xfId="0" applyFont="1" applyBorder="1" applyAlignment="1">
      <alignment horizontal="center"/>
    </xf>
    <xf numFmtId="0" fontId="5" fillId="0" borderId="60" xfId="0" applyFont="1" applyBorder="1" applyAlignment="1">
      <alignment horizontal="center"/>
    </xf>
    <xf numFmtId="0" fontId="5" fillId="0" borderId="17" xfId="0" applyFont="1" applyBorder="1" applyAlignment="1">
      <alignment horizont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8" fillId="0" borderId="33"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7" fillId="21" borderId="34" xfId="0" applyFont="1" applyFill="1" applyBorder="1" applyAlignment="1">
      <alignment horizontal="center" vertical="center"/>
    </xf>
    <xf numFmtId="0" fontId="7" fillId="21" borderId="6" xfId="0" applyFont="1" applyFill="1" applyBorder="1" applyAlignment="1">
      <alignment horizontal="center" vertical="center"/>
    </xf>
    <xf numFmtId="0" fontId="7" fillId="21" borderId="36" xfId="0" applyFont="1" applyFill="1" applyBorder="1" applyAlignment="1">
      <alignment horizontal="center" vertical="center"/>
    </xf>
    <xf numFmtId="0" fontId="12" fillId="0" borderId="0" xfId="0" applyFont="1" applyAlignment="1">
      <alignment horizontal="center" vertical="center"/>
    </xf>
    <xf numFmtId="0" fontId="5" fillId="16" borderId="7" xfId="0" applyFont="1" applyFill="1" applyBorder="1" applyAlignment="1">
      <alignment horizontal="center" vertical="center"/>
    </xf>
    <xf numFmtId="0" fontId="5" fillId="16" borderId="2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Alignment="1">
      <alignment horizontal="center"/>
    </xf>
    <xf numFmtId="0" fontId="18" fillId="0" borderId="4" xfId="0" applyFont="1" applyBorder="1" applyAlignment="1">
      <alignment horizontal="center" vertical="center" wrapText="1"/>
    </xf>
    <xf numFmtId="0" fontId="18" fillId="0" borderId="41" xfId="0" applyFont="1" applyBorder="1" applyAlignment="1">
      <alignment horizontal="center" vertical="center" wrapText="1"/>
    </xf>
    <xf numFmtId="0" fontId="22" fillId="0" borderId="7" xfId="0" applyFont="1" applyBorder="1" applyAlignment="1">
      <alignment horizontal="left" wrapText="1"/>
    </xf>
    <xf numFmtId="0" fontId="22" fillId="0" borderId="9" xfId="0" applyFont="1" applyBorder="1" applyAlignment="1">
      <alignment horizontal="left" wrapText="1"/>
    </xf>
    <xf numFmtId="0" fontId="22" fillId="0" borderId="7" xfId="0" applyFont="1" applyFill="1" applyBorder="1" applyAlignment="1">
      <alignment horizontal="left"/>
    </xf>
    <xf numFmtId="0" fontId="22" fillId="0" borderId="9" xfId="0" applyFont="1" applyFill="1" applyBorder="1" applyAlignment="1">
      <alignment horizontal="left"/>
    </xf>
    <xf numFmtId="0" fontId="22" fillId="0" borderId="23" xfId="0" applyFont="1" applyFill="1" applyBorder="1" applyAlignment="1">
      <alignment horizontal="left"/>
    </xf>
    <xf numFmtId="0" fontId="22" fillId="0" borderId="23" xfId="0" applyFont="1" applyBorder="1" applyAlignment="1">
      <alignment horizontal="left" wrapText="1"/>
    </xf>
    <xf numFmtId="0" fontId="25" fillId="14" borderId="7" xfId="0" applyFont="1" applyFill="1" applyBorder="1" applyAlignment="1">
      <alignment horizontal="left"/>
    </xf>
    <xf numFmtId="0" fontId="25" fillId="14" borderId="9" xfId="0" applyFont="1" applyFill="1" applyBorder="1" applyAlignment="1">
      <alignment horizontal="left"/>
    </xf>
    <xf numFmtId="0" fontId="25" fillId="14" borderId="23" xfId="0" applyFont="1" applyFill="1" applyBorder="1" applyAlignment="1">
      <alignment horizontal="left"/>
    </xf>
    <xf numFmtId="0" fontId="24" fillId="4" borderId="7" xfId="0" applyFont="1" applyFill="1" applyBorder="1" applyAlignment="1">
      <alignment horizontal="left" vertical="center"/>
    </xf>
    <xf numFmtId="0" fontId="24" fillId="4" borderId="9" xfId="0" applyFont="1" applyFill="1" applyBorder="1" applyAlignment="1">
      <alignment horizontal="left" vertical="center"/>
    </xf>
    <xf numFmtId="0" fontId="24" fillId="4" borderId="15" xfId="0" applyFont="1" applyFill="1" applyBorder="1" applyAlignment="1">
      <alignment horizontal="left" vertical="center"/>
    </xf>
    <xf numFmtId="0" fontId="24" fillId="4" borderId="63" xfId="0" applyFont="1" applyFill="1" applyBorder="1" applyAlignment="1">
      <alignment horizontal="left" vertical="center"/>
    </xf>
    <xf numFmtId="0" fontId="22" fillId="0" borderId="8" xfId="0" applyFont="1" applyBorder="1" applyAlignment="1">
      <alignment horizontal="left" wrapText="1"/>
    </xf>
    <xf numFmtId="0" fontId="24" fillId="4" borderId="8" xfId="0" applyFont="1" applyFill="1" applyBorder="1" applyAlignment="1">
      <alignment horizontal="center"/>
    </xf>
    <xf numFmtId="0" fontId="22" fillId="0" borderId="14" xfId="0" applyFont="1" applyFill="1" applyBorder="1" applyAlignment="1">
      <alignment horizontal="left" wrapText="1"/>
    </xf>
    <xf numFmtId="0" fontId="22" fillId="0" borderId="15" xfId="0" applyFont="1" applyFill="1" applyBorder="1" applyAlignment="1">
      <alignment horizontal="left" wrapText="1"/>
    </xf>
    <xf numFmtId="0" fontId="22" fillId="0" borderId="63" xfId="0" applyFont="1" applyFill="1" applyBorder="1" applyAlignment="1">
      <alignment horizontal="left" wrapText="1"/>
    </xf>
    <xf numFmtId="0" fontId="22" fillId="0" borderId="64" xfId="0" applyFont="1" applyBorder="1" applyAlignment="1">
      <alignment horizontal="left" wrapText="1"/>
    </xf>
    <xf numFmtId="0" fontId="22" fillId="0" borderId="61" xfId="0" applyFont="1" applyBorder="1" applyAlignment="1">
      <alignment horizontal="left" wrapText="1"/>
    </xf>
    <xf numFmtId="0" fontId="22" fillId="0" borderId="62" xfId="0" applyFont="1" applyBorder="1" applyAlignment="1">
      <alignment horizontal="left" wrapText="1"/>
    </xf>
    <xf numFmtId="0" fontId="22" fillId="0" borderId="7" xfId="0" applyFont="1" applyBorder="1" applyAlignment="1">
      <alignment horizontal="left"/>
    </xf>
    <xf numFmtId="0" fontId="22" fillId="0" borderId="9" xfId="0" applyFont="1" applyBorder="1" applyAlignment="1">
      <alignment horizontal="left"/>
    </xf>
    <xf numFmtId="0" fontId="22" fillId="0" borderId="23" xfId="0" applyFont="1" applyBorder="1" applyAlignment="1">
      <alignment horizontal="left"/>
    </xf>
    <xf numFmtId="0" fontId="33" fillId="0" borderId="0" xfId="0" applyFont="1" applyAlignment="1">
      <alignment horizontal="justify" vertical="center" wrapText="1"/>
    </xf>
    <xf numFmtId="0" fontId="31" fillId="0" borderId="0" xfId="0" applyFont="1" applyAlignment="1">
      <alignment horizontal="right" vertical="center" wrapText="1"/>
    </xf>
    <xf numFmtId="0" fontId="33" fillId="0" borderId="0" xfId="0" applyFont="1" applyAlignment="1">
      <alignment vertical="center" wrapText="1"/>
    </xf>
    <xf numFmtId="0" fontId="33" fillId="0" borderId="76" xfId="0" applyFont="1" applyBorder="1" applyAlignment="1">
      <alignment vertical="center" wrapText="1"/>
    </xf>
    <xf numFmtId="0" fontId="31" fillId="0" borderId="76" xfId="0" applyFont="1" applyBorder="1" applyAlignment="1">
      <alignment horizontal="right" vertical="center" wrapText="1"/>
    </xf>
    <xf numFmtId="164" fontId="9" fillId="15" borderId="19" xfId="10" applyNumberFormat="1" applyFont="1" applyFill="1" applyBorder="1" applyAlignment="1">
      <alignment horizontal="right"/>
    </xf>
    <xf numFmtId="164" fontId="9" fillId="12" borderId="20" xfId="10" applyNumberFormat="1" applyFont="1" applyFill="1" applyBorder="1" applyAlignment="1">
      <alignment horizontal="right"/>
    </xf>
    <xf numFmtId="164" fontId="9" fillId="20" borderId="20" xfId="10" applyNumberFormat="1" applyFont="1" applyFill="1" applyBorder="1" applyAlignment="1">
      <alignment horizontal="right"/>
    </xf>
    <xf numFmtId="164" fontId="7" fillId="9" borderId="19" xfId="10" applyNumberFormat="1" applyFont="1" applyFill="1" applyBorder="1" applyAlignment="1"/>
  </cellXfs>
  <cellStyles count="11">
    <cellStyle name="Comma" xfId="10" builtinId="3"/>
    <cellStyle name="F2" xfId="1" xr:uid="{00000000-0005-0000-0000-000001000000}"/>
    <cellStyle name="F3" xfId="2" xr:uid="{00000000-0005-0000-0000-000002000000}"/>
    <cellStyle name="F4" xfId="3" xr:uid="{00000000-0005-0000-0000-000003000000}"/>
    <cellStyle name="F5" xfId="4" xr:uid="{00000000-0005-0000-0000-000004000000}"/>
    <cellStyle name="F6" xfId="5" xr:uid="{00000000-0005-0000-0000-000005000000}"/>
    <cellStyle name="F7" xfId="6" xr:uid="{00000000-0005-0000-0000-000006000000}"/>
    <cellStyle name="F8" xfId="7" xr:uid="{00000000-0005-0000-0000-000007000000}"/>
    <cellStyle name="Normal" xfId="0" builtinId="0"/>
    <cellStyle name="Percent" xfId="8" builtinId="5"/>
    <cellStyle name="Pourcentage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a:pPr>
            <a:r>
              <a:rPr lang="en-US"/>
              <a:t>2021 Proposed</a:t>
            </a:r>
            <a:r>
              <a:rPr lang="en-US" baseline="0"/>
              <a:t> Resource Plan </a:t>
            </a:r>
            <a:endParaRPr lang="en-US"/>
          </a:p>
        </c:rich>
      </c:tx>
      <c:overlay val="0"/>
    </c:title>
    <c:autoTitleDeleted val="0"/>
    <c:view3D>
      <c:rotX val="30"/>
      <c:rotY val="20"/>
      <c:rAngAx val="1"/>
    </c:view3D>
    <c:floor>
      <c:thickness val="0"/>
    </c:floor>
    <c:sideWall>
      <c:thickness val="0"/>
    </c:sideWall>
    <c:backWall>
      <c:thickness val="0"/>
    </c:backWall>
    <c:plotArea>
      <c:layout/>
      <c:pie3DChart>
        <c:varyColors val="1"/>
        <c:ser>
          <c:idx val="0"/>
          <c:order val="0"/>
          <c:spPr>
            <a:scene3d>
              <a:camera prst="orthographicFront"/>
              <a:lightRig rig="threePt" dir="t"/>
            </a:scene3d>
            <a:sp3d prstMaterial="matte">
              <a:bevelT/>
              <a:bevelB/>
              <a:contourClr>
                <a:srgbClr val="000000"/>
              </a:contourClr>
            </a:sp3d>
          </c:spPr>
          <c:explosion val="10"/>
          <c:dLbls>
            <c:dLbl>
              <c:idx val="0"/>
              <c:layout>
                <c:manualLayout>
                  <c:x val="-1.580884980097055E-2"/>
                  <c:y val="-0.238717629139711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A83-324E-8368-A680C4927BB8}"/>
                </c:ext>
              </c:extLst>
            </c:dLbl>
            <c:dLbl>
              <c:idx val="1"/>
              <c:layout>
                <c:manualLayout>
                  <c:x val="6.2495885375740134E-2"/>
                  <c:y val="2.53517090089439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83-324E-8368-A680C4927BB8}"/>
                </c:ext>
              </c:extLst>
            </c:dLbl>
            <c:dLbl>
              <c:idx val="2"/>
              <c:layout>
                <c:manualLayout>
                  <c:x val="-5.519828366318718E-2"/>
                  <c:y val="1.82205780730778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341-C247-A9E9-E2E4DD34B193}"/>
                </c:ext>
              </c:extLst>
            </c:dLbl>
            <c:dLbl>
              <c:idx val="3"/>
              <c:layout>
                <c:manualLayout>
                  <c:x val="-9.3305808334634047E-2"/>
                  <c:y val="3.924315087311754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83-324E-8368-A680C4927BB8}"/>
                </c:ext>
              </c:extLst>
            </c:dLbl>
            <c:dLbl>
              <c:idx val="4"/>
              <c:layout>
                <c:manualLayout>
                  <c:x val="-0.11696040769518787"/>
                  <c:y val="-2.226026843771919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41-C247-A9E9-E2E4DD34B193}"/>
                </c:ext>
              </c:extLst>
            </c:dLbl>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Graphs!$B$4:$B$7</c:f>
              <c:strCache>
                <c:ptCount val="4"/>
                <c:pt idx="0">
                  <c:v>UN Grant + RPTC</c:v>
                </c:pt>
                <c:pt idx="1">
                  <c:v>Member State Contributions</c:v>
                </c:pt>
                <c:pt idx="2">
                  <c:v>ECA Programme Support</c:v>
                </c:pt>
                <c:pt idx="3">
                  <c:v>Minimum to be mobilised</c:v>
                </c:pt>
              </c:strCache>
            </c:strRef>
          </c:cat>
          <c:val>
            <c:numRef>
              <c:f>Graphs!$C$4:$C$7</c:f>
              <c:numCache>
                <c:formatCode>_(* #,##0_);_(* \(#,##0\);_(* "-"??_);_(@_)</c:formatCode>
                <c:ptCount val="4"/>
                <c:pt idx="0">
                  <c:v>2315000</c:v>
                </c:pt>
                <c:pt idx="1">
                  <c:v>1000000</c:v>
                </c:pt>
                <c:pt idx="2">
                  <c:v>750000</c:v>
                </c:pt>
                <c:pt idx="3">
                  <c:v>349999.5</c:v>
                </c:pt>
              </c:numCache>
            </c:numRef>
          </c:val>
          <c:extLst>
            <c:ext xmlns:c16="http://schemas.microsoft.com/office/drawing/2014/chart" uri="{C3380CC4-5D6E-409C-BE32-E72D297353CC}">
              <c16:uniqueId val="{00000003-6A83-324E-8368-A680C4927BB8}"/>
            </c:ext>
          </c:extLst>
        </c:ser>
        <c:dLbls>
          <c:dLblPos val="bestFit"/>
          <c:showLegendKey val="0"/>
          <c:showVal val="0"/>
          <c:showCatName val="0"/>
          <c:showSerName val="0"/>
          <c:showPercent val="1"/>
          <c:showBubbleSize val="0"/>
          <c:showLeaderLines val="1"/>
        </c:dLbls>
      </c:pie3DChart>
    </c:plotArea>
    <c:plotVisOnly val="1"/>
    <c:dispBlanksAs val="zero"/>
    <c:showDLblsOverMax val="0"/>
  </c:chart>
  <c:spPr>
    <a:solidFill>
      <a:sysClr val="window" lastClr="FFFFFF"/>
    </a:solidFill>
    <a:ln w="25400" cap="flat" cmpd="sng" algn="ctr">
      <a:solidFill>
        <a:srgbClr val="4F81BD"/>
      </a:solidFill>
      <a:prstDash val="solid"/>
    </a:ln>
    <a:effectLst/>
  </c:spPr>
  <c:txPr>
    <a:bodyPr/>
    <a:lstStyle/>
    <a:p>
      <a:pPr>
        <a:defRPr>
          <a:solidFill>
            <a:sysClr val="windowText" lastClr="000000"/>
          </a:solidFill>
          <a:latin typeface="+mn-lt"/>
          <a:ea typeface="+mn-ea"/>
          <a:cs typeface="+mn-cs"/>
        </a:defRPr>
      </a:pPr>
      <a:endParaRPr lang="en-US"/>
    </a:p>
  </c:txPr>
  <c:printSettings>
    <c:headerFooter/>
    <c:pageMargins b="0.750000000000001" l="0.70000000000000095" r="0.70000000000000095"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a:t>Annual allotments c</a:t>
            </a:r>
            <a:r>
              <a:rPr lang="en-US" baseline="0"/>
              <a:t>ost category</a:t>
            </a:r>
            <a:endParaRPr lang="en-US"/>
          </a:p>
        </c:rich>
      </c:tx>
      <c:layout>
        <c:manualLayout>
          <c:xMode val="edge"/>
          <c:yMode val="edge"/>
          <c:x val="0.24531040762761799"/>
          <c:y val="1.626016260162600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v>2020</c:v>
          </c:tx>
          <c:spPr>
            <a:pattFill prst="pct60">
              <a:fgClr>
                <a:schemeClr val="tx1"/>
              </a:fgClr>
              <a:bgClr>
                <a:schemeClr val="bg1"/>
              </a:bgClr>
            </a:pattFill>
            <a:ln w="9525" cap="flat" cmpd="sng" algn="ctr">
              <a:gradFill>
                <a:gsLst>
                  <a:gs pos="5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round/>
            </a:ln>
            <a:effectLst>
              <a:outerShdw blurRad="50800" dir="5400000" algn="ctr" rotWithShape="0">
                <a:sysClr val="window" lastClr="FFFFFF">
                  <a:lumMod val="85000"/>
                </a:sysClr>
              </a:outerShdw>
            </a:effectLst>
            <a:scene3d>
              <a:camera prst="orthographicFront"/>
              <a:lightRig rig="threePt" dir="t"/>
            </a:scene3d>
            <a:sp3d>
              <a:bevelB prst="relaxedInset"/>
            </a:sp3d>
          </c:spPr>
          <c:invertIfNegative val="0"/>
          <c:dPt>
            <c:idx val="0"/>
            <c:invertIfNegative val="0"/>
            <c:bubble3D val="0"/>
            <c:spPr>
              <a:pattFill prst="pct60">
                <a:fgClr>
                  <a:schemeClr val="tx1"/>
                </a:fgClr>
                <a:bgClr>
                  <a:schemeClr val="bg1"/>
                </a:bgClr>
              </a:pattFill>
              <a:ln w="9525" cap="flat" cmpd="sng" algn="ctr">
                <a:gradFill>
                  <a:gsLst>
                    <a:gs pos="5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round/>
              </a:ln>
              <a:effectLst>
                <a:outerShdw blurRad="50800" dir="5400000" algn="ctr" rotWithShape="0">
                  <a:sysClr val="window" lastClr="FFFFFF">
                    <a:lumMod val="85000"/>
                  </a:sysClr>
                </a:outerShdw>
              </a:effectLst>
              <a:scene3d>
                <a:camera prst="orthographicFront"/>
                <a:lightRig rig="threePt" dir="t"/>
              </a:scene3d>
              <a:sp3d>
                <a:bevelB prst="relaxedInset"/>
              </a:sp3d>
            </c:spPr>
            <c:extLst>
              <c:ext xmlns:c16="http://schemas.microsoft.com/office/drawing/2014/chart" uri="{C3380CC4-5D6E-409C-BE32-E72D297353CC}">
                <c16:uniqueId val="{00000000-4A89-4109-A2A0-660DEB939E29}"/>
              </c:ext>
            </c:extLst>
          </c:dPt>
          <c:cat>
            <c:strRef>
              <c:f>Graphs!$B$43:$B$49</c:f>
              <c:strCache>
                <c:ptCount val="7"/>
                <c:pt idx="0">
                  <c:v>Training</c:v>
                </c:pt>
                <c:pt idx="1">
                  <c:v>Research</c:v>
                </c:pt>
                <c:pt idx="2">
                  <c:v>KM and e-Learning</c:v>
                </c:pt>
                <c:pt idx="3">
                  <c:v>Business Development</c:v>
                </c:pt>
                <c:pt idx="4">
                  <c:v>Monitoring &amp; Evaluation</c:v>
                </c:pt>
                <c:pt idx="5">
                  <c:v>Coordination Salaries</c:v>
                </c:pt>
                <c:pt idx="6">
                  <c:v>Operating expenses</c:v>
                </c:pt>
              </c:strCache>
            </c:strRef>
          </c:cat>
          <c:val>
            <c:numRef>
              <c:f>Graphs!$C$43:$C$49</c:f>
              <c:numCache>
                <c:formatCode>_(* #,##0_);_(* \(#,##0\);_(* "-"??_);_(@_)</c:formatCode>
                <c:ptCount val="7"/>
                <c:pt idx="0">
                  <c:v>2664674</c:v>
                </c:pt>
                <c:pt idx="1">
                  <c:v>382376.5</c:v>
                </c:pt>
                <c:pt idx="2">
                  <c:v>1011075</c:v>
                </c:pt>
                <c:pt idx="3">
                  <c:v>131000</c:v>
                </c:pt>
                <c:pt idx="4">
                  <c:v>35000</c:v>
                </c:pt>
                <c:pt idx="5">
                  <c:v>867345</c:v>
                </c:pt>
                <c:pt idx="6">
                  <c:v>558232</c:v>
                </c:pt>
              </c:numCache>
            </c:numRef>
          </c:val>
          <c:extLst>
            <c:ext xmlns:c16="http://schemas.microsoft.com/office/drawing/2014/chart" uri="{C3380CC4-5D6E-409C-BE32-E72D297353CC}">
              <c16:uniqueId val="{00000000-64EE-BC4E-8AFE-A2059F8D039D}"/>
            </c:ext>
          </c:extLst>
        </c:ser>
        <c:ser>
          <c:idx val="1"/>
          <c:order val="1"/>
          <c:tx>
            <c:v>2021</c:v>
          </c:tx>
          <c:spPr>
            <a:pattFill prst="wdUpDiag">
              <a:fgClr>
                <a:schemeClr val="tx1"/>
              </a:fgClr>
              <a:bgClr>
                <a:schemeClr val="bg1"/>
              </a:bgClr>
            </a:pattFill>
            <a:ln w="9525" cap="flat" cmpd="sng" algn="ctr">
              <a:solidFill>
                <a:schemeClr val="dk1">
                  <a:tint val="55000"/>
                  <a:shade val="50000"/>
                  <a:shade val="95000"/>
                  <a:satMod val="105000"/>
                </a:schemeClr>
              </a:solidFill>
              <a:prstDash val="solid"/>
              <a:round/>
            </a:ln>
            <a:effectLst>
              <a:softEdge rad="12700"/>
            </a:effectLst>
            <a:scene3d>
              <a:camera prst="orthographicFront"/>
              <a:lightRig rig="threePt" dir="t"/>
            </a:scene3d>
            <a:sp3d prstMaterial="metal"/>
          </c:spPr>
          <c:invertIfNegative val="0"/>
          <c:cat>
            <c:strRef>
              <c:f>Graphs!$B$43:$B$49</c:f>
              <c:strCache>
                <c:ptCount val="7"/>
                <c:pt idx="0">
                  <c:v>Training</c:v>
                </c:pt>
                <c:pt idx="1">
                  <c:v>Research</c:v>
                </c:pt>
                <c:pt idx="2">
                  <c:v>KM and e-Learning</c:v>
                </c:pt>
                <c:pt idx="3">
                  <c:v>Business Development</c:v>
                </c:pt>
                <c:pt idx="4">
                  <c:v>Monitoring &amp; Evaluation</c:v>
                </c:pt>
                <c:pt idx="5">
                  <c:v>Coordination Salaries</c:v>
                </c:pt>
                <c:pt idx="6">
                  <c:v>Operating expenses</c:v>
                </c:pt>
              </c:strCache>
            </c:strRef>
          </c:cat>
          <c:val>
            <c:numRef>
              <c:f>Graphs!$E$43:$E$49</c:f>
              <c:numCache>
                <c:formatCode>_(* #,##0_);_(* \(#,##0\);_(* "-"??_);_(@_)</c:formatCode>
                <c:ptCount val="7"/>
                <c:pt idx="0">
                  <c:v>1325074</c:v>
                </c:pt>
                <c:pt idx="1">
                  <c:v>337782.5</c:v>
                </c:pt>
                <c:pt idx="2">
                  <c:v>1176575</c:v>
                </c:pt>
                <c:pt idx="3">
                  <c:v>140000</c:v>
                </c:pt>
                <c:pt idx="4">
                  <c:v>35000</c:v>
                </c:pt>
                <c:pt idx="5">
                  <c:v>867345</c:v>
                </c:pt>
                <c:pt idx="6">
                  <c:v>533223</c:v>
                </c:pt>
              </c:numCache>
            </c:numRef>
          </c:val>
          <c:extLst>
            <c:ext xmlns:c16="http://schemas.microsoft.com/office/drawing/2014/chart" uri="{C3380CC4-5D6E-409C-BE32-E72D297353CC}">
              <c16:uniqueId val="{00000001-64EE-BC4E-8AFE-A2059F8D039D}"/>
            </c:ext>
          </c:extLst>
        </c:ser>
        <c:dLbls>
          <c:showLegendKey val="0"/>
          <c:showVal val="0"/>
          <c:showCatName val="0"/>
          <c:showSerName val="0"/>
          <c:showPercent val="0"/>
          <c:showBubbleSize val="0"/>
        </c:dLbls>
        <c:gapWidth val="100"/>
        <c:overlap val="-10"/>
        <c:axId val="-1604936160"/>
        <c:axId val="-1557736208"/>
      </c:barChart>
      <c:catAx>
        <c:axId val="-160493616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COST</a:t>
                </a:r>
                <a:r>
                  <a:rPr lang="en-US" baseline="0"/>
                  <a:t> CATEGORY</a:t>
                </a:r>
                <a:endParaRPr lang="en-US"/>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557736208"/>
        <c:crosses val="autoZero"/>
        <c:auto val="1"/>
        <c:lblAlgn val="ctr"/>
        <c:lblOffset val="100"/>
        <c:noMultiLvlLbl val="0"/>
      </c:catAx>
      <c:valAx>
        <c:axId val="-1557736208"/>
        <c:scaling>
          <c:orientation val="minMax"/>
          <c:max val="3000000"/>
        </c:scaling>
        <c:delete val="0"/>
        <c:axPos val="l"/>
        <c:majorGridlines>
          <c:spPr>
            <a:ln w="9525" cap="flat" cmpd="sng" algn="ctr">
              <a:solidFill>
                <a:schemeClr val="dk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AMOUNT</a:t>
                </a:r>
                <a:r>
                  <a:rPr lang="en-US" baseline="0"/>
                  <a:t> US$</a:t>
                </a:r>
                <a:endParaRPr lang="en-US"/>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_(* #,##0_);_(* \(#,##0\);_(* &quot;-&quot;??_);_(@_)"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04936160"/>
        <c:crosses val="autoZero"/>
        <c:crossBetween val="between"/>
      </c:valAx>
      <c:spPr>
        <a:solidFill>
          <a:schemeClr val="dk1">
            <a:tint val="20000"/>
          </a:schemeClr>
        </a:solidFill>
        <a:ln>
          <a:noFill/>
        </a:ln>
        <a:effectLst/>
      </c:spPr>
    </c:plotArea>
    <c:legend>
      <c:legendPos val="t"/>
      <c:overlay val="0"/>
      <c:spPr>
        <a:noFill/>
        <a:ln>
          <a:noFill/>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ysClr val="window" lastClr="FFFFFF"/>
    </a:solidFill>
    <a:ln w="25400" cap="flat" cmpd="sng" algn="ctr">
      <a:solidFill>
        <a:srgbClr val="4F81BD"/>
      </a:solidFill>
      <a:prstDash val="solid"/>
      <a:round/>
    </a:ln>
    <a:effectLst>
      <a:outerShdw blurRad="50800" dist="50800" dir="5400000" algn="ctr" rotWithShape="0">
        <a:srgbClr val="000000"/>
      </a:outerShdw>
    </a:effectLst>
  </c:spPr>
  <c:txPr>
    <a:bodyPr/>
    <a:lstStyle/>
    <a:p>
      <a:pPr>
        <a:defRPr>
          <a:solidFill>
            <a:sysClr val="windowText" lastClr="000000"/>
          </a:solidFill>
          <a:latin typeface="+mn-lt"/>
          <a:ea typeface="+mn-ea"/>
          <a:cs typeface="+mn-cs"/>
        </a:defRPr>
      </a:pPr>
      <a:endParaRPr lang="en-US"/>
    </a:p>
  </c:txPr>
  <c:printSettings>
    <c:headerFooter/>
    <c:pageMargins b="0.750000000000001" l="0.70000000000000095" r="0.70000000000000095" t="0.750000000000001"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34">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cs:styleClr val="auto">
        <a:shade val="50000"/>
      </cs:styleClr>
    </cs:lnRef>
    <cs:fillRef idx="1">
      <cs:styleClr val="auto"/>
    </cs:fillRef>
    <cs:effectRef idx="0"/>
    <cs:fontRef idx="minor">
      <a:schemeClr val="dk1"/>
    </cs:fontRef>
    <cs:spPr>
      <a:ln>
        <a:round/>
      </a:ln>
    </cs:spPr>
  </cs:dataPoint>
  <cs:dataPoint3D>
    <cs:lnRef idx="1">
      <cs:styleClr val="auto">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a:schemeClr val="dk1"/>
    </cs:lnRef>
    <cs:fillRef idx="1">
      <a:schemeClr val="dk1">
        <a:tint val="95000"/>
      </a:schem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a:schemeClr val="dk1">
        <a:tint val="20000"/>
      </a:schem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a:schemeClr val="dk1">
        <a:tint val="20000"/>
      </a:schem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a:schemeClr val="dk1"/>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a:schemeClr val="dk1">
        <a:tint val="20000"/>
      </a:schemeClr>
    </cs:fillRef>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43156</xdr:colOff>
      <xdr:row>1</xdr:row>
      <xdr:rowOff>18496</xdr:rowOff>
    </xdr:from>
    <xdr:to>
      <xdr:col>14</xdr:col>
      <xdr:colOff>652756</xdr:colOff>
      <xdr:row>29</xdr:row>
      <xdr:rowOff>4439</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974078</xdr:colOff>
      <xdr:row>52</xdr:row>
      <xdr:rowOff>154127</xdr:rowOff>
    </xdr:from>
    <xdr:to>
      <xdr:col>14</xdr:col>
      <xdr:colOff>578775</xdr:colOff>
      <xdr:row>81</xdr:row>
      <xdr:rowOff>146235</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51"/>
  <sheetViews>
    <sheetView zoomScale="103" workbookViewId="0">
      <selection activeCell="C12" sqref="C12"/>
    </sheetView>
  </sheetViews>
  <sheetFormatPr defaultColWidth="11.453125" defaultRowHeight="12.5" x14ac:dyDescent="0.25"/>
  <cols>
    <col min="2" max="2" width="25.36328125" customWidth="1"/>
    <col min="3" max="3" width="15.36328125" customWidth="1"/>
    <col min="4" max="4" width="13.1796875" style="76" bestFit="1" customWidth="1"/>
    <col min="5" max="5" width="14.36328125" bestFit="1" customWidth="1"/>
    <col min="258" max="258" width="21" customWidth="1"/>
    <col min="514" max="514" width="21" customWidth="1"/>
    <col min="770" max="770" width="21" customWidth="1"/>
    <col min="1026" max="1026" width="21" customWidth="1"/>
    <col min="1282" max="1282" width="21" customWidth="1"/>
    <col min="1538" max="1538" width="21" customWidth="1"/>
    <col min="1794" max="1794" width="21" customWidth="1"/>
    <col min="2050" max="2050" width="21" customWidth="1"/>
    <col min="2306" max="2306" width="21" customWidth="1"/>
    <col min="2562" max="2562" width="21" customWidth="1"/>
    <col min="2818" max="2818" width="21" customWidth="1"/>
    <col min="3074" max="3074" width="21" customWidth="1"/>
    <col min="3330" max="3330" width="21" customWidth="1"/>
    <col min="3586" max="3586" width="21" customWidth="1"/>
    <col min="3842" max="3842" width="21" customWidth="1"/>
    <col min="4098" max="4098" width="21" customWidth="1"/>
    <col min="4354" max="4354" width="21" customWidth="1"/>
    <col min="4610" max="4610" width="21" customWidth="1"/>
    <col min="4866" max="4866" width="21" customWidth="1"/>
    <col min="5122" max="5122" width="21" customWidth="1"/>
    <col min="5378" max="5378" width="21" customWidth="1"/>
    <col min="5634" max="5634" width="21" customWidth="1"/>
    <col min="5890" max="5890" width="21" customWidth="1"/>
    <col min="6146" max="6146" width="21" customWidth="1"/>
    <col min="6402" max="6402" width="21" customWidth="1"/>
    <col min="6658" max="6658" width="21" customWidth="1"/>
    <col min="6914" max="6914" width="21" customWidth="1"/>
    <col min="7170" max="7170" width="21" customWidth="1"/>
    <col min="7426" max="7426" width="21" customWidth="1"/>
    <col min="7682" max="7682" width="21" customWidth="1"/>
    <col min="7938" max="7938" width="21" customWidth="1"/>
    <col min="8194" max="8194" width="21" customWidth="1"/>
    <col min="8450" max="8450" width="21" customWidth="1"/>
    <col min="8706" max="8706" width="21" customWidth="1"/>
    <col min="8962" max="8962" width="21" customWidth="1"/>
    <col min="9218" max="9218" width="21" customWidth="1"/>
    <col min="9474" max="9474" width="21" customWidth="1"/>
    <col min="9730" max="9730" width="21" customWidth="1"/>
    <col min="9986" max="9986" width="21" customWidth="1"/>
    <col min="10242" max="10242" width="21" customWidth="1"/>
    <col min="10498" max="10498" width="21" customWidth="1"/>
    <col min="10754" max="10754" width="21" customWidth="1"/>
    <col min="11010" max="11010" width="21" customWidth="1"/>
    <col min="11266" max="11266" width="21" customWidth="1"/>
    <col min="11522" max="11522" width="21" customWidth="1"/>
    <col min="11778" max="11778" width="21" customWidth="1"/>
    <col min="12034" max="12034" width="21" customWidth="1"/>
    <col min="12290" max="12290" width="21" customWidth="1"/>
    <col min="12546" max="12546" width="21" customWidth="1"/>
    <col min="12802" max="12802" width="21" customWidth="1"/>
    <col min="13058" max="13058" width="21" customWidth="1"/>
    <col min="13314" max="13314" width="21" customWidth="1"/>
    <col min="13570" max="13570" width="21" customWidth="1"/>
    <col min="13826" max="13826" width="21" customWidth="1"/>
    <col min="14082" max="14082" width="21" customWidth="1"/>
    <col min="14338" max="14338" width="21" customWidth="1"/>
    <col min="14594" max="14594" width="21" customWidth="1"/>
    <col min="14850" max="14850" width="21" customWidth="1"/>
    <col min="15106" max="15106" width="21" customWidth="1"/>
    <col min="15362" max="15362" width="21" customWidth="1"/>
    <col min="15618" max="15618" width="21" customWidth="1"/>
    <col min="15874" max="15874" width="21" customWidth="1"/>
    <col min="16130" max="16130" width="21" customWidth="1"/>
  </cols>
  <sheetData>
    <row r="2" spans="2:4" ht="13" x14ac:dyDescent="0.3">
      <c r="C2" s="28">
        <v>2021</v>
      </c>
    </row>
    <row r="4" spans="2:4" x14ac:dyDescent="0.25">
      <c r="B4" s="91" t="s">
        <v>329</v>
      </c>
      <c r="C4" s="111">
        <f>1300000+750000+265000</f>
        <v>2315000</v>
      </c>
      <c r="D4" s="81">
        <f>+C4/C8</f>
        <v>0.52434887025468524</v>
      </c>
    </row>
    <row r="5" spans="2:4" x14ac:dyDescent="0.25">
      <c r="B5" t="s">
        <v>77</v>
      </c>
      <c r="C5" s="111">
        <f>1000000</f>
        <v>1000000</v>
      </c>
      <c r="D5" s="81">
        <f>+C5/C8</f>
        <v>0.2265005919026718</v>
      </c>
    </row>
    <row r="6" spans="2:4" x14ac:dyDescent="0.25">
      <c r="B6" s="91" t="s">
        <v>264</v>
      </c>
      <c r="C6" s="111">
        <f>750000</f>
        <v>750000</v>
      </c>
      <c r="D6" s="81">
        <f>C6/C8</f>
        <v>0.16987544392700385</v>
      </c>
    </row>
    <row r="7" spans="2:4" x14ac:dyDescent="0.25">
      <c r="B7" s="91" t="s">
        <v>315</v>
      </c>
      <c r="C7" s="111">
        <f>Summary!$E$14-SUM(Graphs!$C$4:$C$6)</f>
        <v>349999.5</v>
      </c>
      <c r="D7" s="81">
        <f>+C7/C8</f>
        <v>7.927509391563918E-2</v>
      </c>
    </row>
    <row r="8" spans="2:4" x14ac:dyDescent="0.25">
      <c r="C8" s="111">
        <f>SUM(C4:C7)</f>
        <v>4414999.5</v>
      </c>
    </row>
    <row r="11" spans="2:4" x14ac:dyDescent="0.25">
      <c r="C11" s="112"/>
    </row>
    <row r="12" spans="2:4" x14ac:dyDescent="0.25">
      <c r="C12" s="112"/>
    </row>
    <row r="13" spans="2:4" x14ac:dyDescent="0.25">
      <c r="C13" s="188"/>
    </row>
    <row r="40" spans="2:6" ht="13" thickBot="1" x14ac:dyDescent="0.3"/>
    <row r="41" spans="2:6" ht="16" thickTop="1" thickBot="1" x14ac:dyDescent="0.3">
      <c r="B41" s="271" t="s">
        <v>155</v>
      </c>
      <c r="C41" s="273">
        <v>2020</v>
      </c>
      <c r="D41" s="274"/>
      <c r="E41" s="273">
        <v>2021</v>
      </c>
      <c r="F41" s="275"/>
    </row>
    <row r="42" spans="2:6" ht="18" customHeight="1" thickBot="1" x14ac:dyDescent="0.3">
      <c r="B42" s="272"/>
      <c r="C42" s="82" t="s">
        <v>154</v>
      </c>
      <c r="D42" s="82" t="s">
        <v>78</v>
      </c>
      <c r="E42" s="82" t="s">
        <v>154</v>
      </c>
      <c r="F42" s="83" t="s">
        <v>78</v>
      </c>
    </row>
    <row r="43" spans="2:6" ht="16" thickBot="1" x14ac:dyDescent="0.3">
      <c r="B43" s="84" t="s">
        <v>80</v>
      </c>
      <c r="C43" s="88">
        <v>2664674</v>
      </c>
      <c r="D43" s="182">
        <f t="shared" ref="D43:D49" si="0">C43/$C$50</f>
        <v>0.47164855140602535</v>
      </c>
      <c r="E43" s="88">
        <f>Summary!E6</f>
        <v>1325074</v>
      </c>
      <c r="F43" s="183">
        <f t="shared" ref="F43:F49" si="1">E43/$E$50</f>
        <v>0.30013004531484094</v>
      </c>
    </row>
    <row r="44" spans="2:6" ht="16" thickBot="1" x14ac:dyDescent="0.3">
      <c r="B44" s="84" t="s">
        <v>81</v>
      </c>
      <c r="C44" s="88">
        <v>382376.5</v>
      </c>
      <c r="D44" s="182">
        <f t="shared" si="0"/>
        <v>6.7680820361780109E-2</v>
      </c>
      <c r="E44" s="88">
        <f>Summary!E7</f>
        <v>337782.5</v>
      </c>
      <c r="F44" s="183">
        <f t="shared" si="1"/>
        <v>7.6507936184364231E-2</v>
      </c>
    </row>
    <row r="45" spans="2:6" ht="16" thickBot="1" x14ac:dyDescent="0.3">
      <c r="B45" s="84" t="s">
        <v>153</v>
      </c>
      <c r="C45" s="88">
        <v>1011075</v>
      </c>
      <c r="D45" s="182">
        <f t="shared" si="0"/>
        <v>0.17896075058819469</v>
      </c>
      <c r="E45" s="88">
        <f>Summary!E8</f>
        <v>1176575</v>
      </c>
      <c r="F45" s="183">
        <f t="shared" si="1"/>
        <v>0.26649493391788603</v>
      </c>
    </row>
    <row r="46" spans="2:6" ht="16" thickBot="1" x14ac:dyDescent="0.3">
      <c r="B46" s="84" t="str">
        <f>'Annex V 2021 RB XB'!M15</f>
        <v>Business Development</v>
      </c>
      <c r="C46" s="88">
        <v>131000</v>
      </c>
      <c r="D46" s="182">
        <f t="shared" si="0"/>
        <v>2.3187061619616253E-2</v>
      </c>
      <c r="E46" s="88">
        <f>Summary!E9</f>
        <v>140000</v>
      </c>
      <c r="F46" s="183">
        <f t="shared" si="1"/>
        <v>3.1710082866374049E-2</v>
      </c>
    </row>
    <row r="47" spans="2:6" ht="16" thickBot="1" x14ac:dyDescent="0.3">
      <c r="B47" s="84" t="str">
        <f>'Annex V 2021 RB XB'!M19</f>
        <v>Monitoring &amp; Evaluation</v>
      </c>
      <c r="C47" s="88">
        <f>35000</f>
        <v>35000</v>
      </c>
      <c r="D47" s="182">
        <f t="shared" si="0"/>
        <v>6.1950164632562513E-3</v>
      </c>
      <c r="E47" s="88">
        <f>'Annex V 2021 RB XB'!L19</f>
        <v>35000</v>
      </c>
      <c r="F47" s="183">
        <f t="shared" si="1"/>
        <v>7.9275207165935124E-3</v>
      </c>
    </row>
    <row r="48" spans="2:6" ht="16" thickBot="1" x14ac:dyDescent="0.3">
      <c r="B48" s="84" t="s">
        <v>325</v>
      </c>
      <c r="C48" s="88">
        <v>867345</v>
      </c>
      <c r="D48" s="182">
        <f t="shared" si="0"/>
        <v>0.15352047298065694</v>
      </c>
      <c r="E48" s="88">
        <f>Summary!E11</f>
        <v>867345</v>
      </c>
      <c r="F48" s="183">
        <f t="shared" si="1"/>
        <v>0.19645415588382287</v>
      </c>
    </row>
    <row r="49" spans="2:6" ht="16" thickBot="1" x14ac:dyDescent="0.3">
      <c r="B49" s="84" t="s">
        <v>152</v>
      </c>
      <c r="C49" s="88">
        <f>593232-35000</f>
        <v>558232</v>
      </c>
      <c r="D49" s="182">
        <f t="shared" si="0"/>
        <v>9.8807326580470381E-2</v>
      </c>
      <c r="E49" s="88">
        <f>Summary!E12</f>
        <v>533223</v>
      </c>
      <c r="F49" s="183">
        <f t="shared" si="1"/>
        <v>0.12077532511611835</v>
      </c>
    </row>
    <row r="50" spans="2:6" ht="15.5" thickBot="1" x14ac:dyDescent="0.3">
      <c r="B50" s="85" t="s">
        <v>79</v>
      </c>
      <c r="C50" s="89">
        <f>SUM(C43:C49)</f>
        <v>5649702.5</v>
      </c>
      <c r="D50" s="86"/>
      <c r="E50" s="90">
        <f>SUM(E43:E49)</f>
        <v>4414999.5</v>
      </c>
      <c r="F50" s="87"/>
    </row>
    <row r="51" spans="2:6" ht="13" thickTop="1" x14ac:dyDescent="0.25"/>
  </sheetData>
  <mergeCells count="3">
    <mergeCell ref="B41:B42"/>
    <mergeCell ref="C41:D41"/>
    <mergeCell ref="E41:F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10" workbookViewId="0">
      <selection activeCell="F22" sqref="F22"/>
    </sheetView>
  </sheetViews>
  <sheetFormatPr defaultColWidth="8.81640625" defaultRowHeight="12.5" x14ac:dyDescent="0.25"/>
  <cols>
    <col min="2" max="2" width="34.7265625" customWidth="1"/>
    <col min="3" max="3" width="15" bestFit="1" customWidth="1"/>
    <col min="4" max="5" width="15" customWidth="1"/>
    <col min="6" max="7" width="11.1796875" customWidth="1"/>
    <col min="8" max="8" width="33.6328125" customWidth="1"/>
    <col min="9" max="9" width="15.453125" customWidth="1"/>
    <col min="10" max="11" width="12.1796875" customWidth="1"/>
    <col min="12" max="12" width="9.6328125" customWidth="1"/>
    <col min="13" max="13" width="12.81640625" bestFit="1" customWidth="1"/>
  </cols>
  <sheetData>
    <row r="1" spans="1:16" ht="13" thickBot="1" x14ac:dyDescent="0.3">
      <c r="A1" s="92"/>
      <c r="B1" s="92"/>
      <c r="C1" s="92"/>
      <c r="D1" s="92"/>
      <c r="E1" s="92"/>
      <c r="F1" s="92"/>
      <c r="G1" s="92"/>
      <c r="H1" s="92"/>
      <c r="I1" s="157"/>
      <c r="J1" s="157"/>
      <c r="K1" s="157"/>
      <c r="L1" s="157"/>
      <c r="M1" s="92"/>
      <c r="N1" s="92"/>
      <c r="O1" s="92"/>
      <c r="P1" s="92"/>
    </row>
    <row r="2" spans="1:16" ht="13.5" thickBot="1" x14ac:dyDescent="0.35">
      <c r="A2" s="93" t="s">
        <v>84</v>
      </c>
      <c r="B2" s="177" t="s">
        <v>326</v>
      </c>
      <c r="C2" s="178"/>
      <c r="D2" s="178"/>
      <c r="E2" s="178"/>
      <c r="F2" s="179"/>
      <c r="G2" s="181"/>
      <c r="H2" s="181"/>
      <c r="I2" s="181"/>
      <c r="J2" s="181"/>
      <c r="K2" s="181"/>
      <c r="L2" s="226"/>
      <c r="M2" s="92"/>
      <c r="N2" s="92"/>
      <c r="O2" s="92"/>
      <c r="P2" s="92"/>
    </row>
    <row r="3" spans="1:16" ht="13.5" thickBot="1" x14ac:dyDescent="0.35">
      <c r="A3" s="186"/>
      <c r="B3" s="181"/>
      <c r="C3" s="180"/>
      <c r="D3" s="180"/>
      <c r="E3" s="180"/>
      <c r="F3" s="180"/>
      <c r="G3" s="181"/>
      <c r="H3" s="181"/>
      <c r="I3" s="187"/>
      <c r="J3" s="187"/>
      <c r="K3" s="187"/>
      <c r="L3" s="187"/>
      <c r="M3" s="92"/>
      <c r="N3" s="92"/>
      <c r="O3" s="92"/>
      <c r="P3" s="92"/>
    </row>
    <row r="4" spans="1:16" ht="13.5" thickBot="1" x14ac:dyDescent="0.35">
      <c r="A4" s="92"/>
      <c r="B4" s="278" t="s">
        <v>155</v>
      </c>
      <c r="C4" s="280">
        <v>2021</v>
      </c>
      <c r="D4" s="280"/>
      <c r="E4" s="281"/>
      <c r="F4" s="276" t="s">
        <v>78</v>
      </c>
      <c r="G4" s="92"/>
      <c r="H4" s="92"/>
      <c r="I4" s="92"/>
      <c r="J4" s="92"/>
    </row>
    <row r="5" spans="1:16" ht="13.5" thickBot="1" x14ac:dyDescent="0.35">
      <c r="A5" s="92"/>
      <c r="B5" s="279"/>
      <c r="C5" s="167" t="s">
        <v>150</v>
      </c>
      <c r="D5" s="171" t="s">
        <v>151</v>
      </c>
      <c r="E5" s="171" t="s">
        <v>79</v>
      </c>
      <c r="F5" s="277"/>
      <c r="G5" s="92"/>
      <c r="H5" s="92"/>
      <c r="I5" s="92"/>
      <c r="J5" s="92"/>
    </row>
    <row r="6" spans="1:16" ht="13" x14ac:dyDescent="0.3">
      <c r="A6" s="92"/>
      <c r="B6" s="168" t="s">
        <v>80</v>
      </c>
      <c r="C6" s="172">
        <f>'Annex V 2021 RB XB'!L13</f>
        <v>850000</v>
      </c>
      <c r="D6" s="172">
        <f>Workings!D67+11999</f>
        <v>475074</v>
      </c>
      <c r="E6" s="172">
        <f>C6+D6</f>
        <v>1325074</v>
      </c>
      <c r="F6" s="175">
        <f t="shared" ref="F6:F12" si="0">E6/$E$14</f>
        <v>0.30013004531484094</v>
      </c>
      <c r="G6" s="92"/>
      <c r="H6" s="92"/>
      <c r="I6" s="92"/>
      <c r="J6" s="92"/>
    </row>
    <row r="7" spans="1:16" ht="13" x14ac:dyDescent="0.3">
      <c r="A7" s="92"/>
      <c r="B7" s="169" t="s">
        <v>81</v>
      </c>
      <c r="C7" s="173">
        <f>'Annex V 2021 RB XB'!L14</f>
        <v>148560</v>
      </c>
      <c r="D7" s="173">
        <f>Workings!D88</f>
        <v>189222.5</v>
      </c>
      <c r="E7" s="173">
        <f>C7+D7</f>
        <v>337782.5</v>
      </c>
      <c r="F7" s="104">
        <f t="shared" si="0"/>
        <v>7.6507936184364231E-2</v>
      </c>
      <c r="G7" s="92"/>
      <c r="H7" s="92"/>
      <c r="I7" s="92"/>
      <c r="J7" s="92"/>
    </row>
    <row r="8" spans="1:16" ht="13" x14ac:dyDescent="0.3">
      <c r="A8" s="92"/>
      <c r="B8" s="169" t="s">
        <v>263</v>
      </c>
      <c r="C8" s="173">
        <f>'Annex V 2021 RB XB'!L17</f>
        <v>655500</v>
      </c>
      <c r="D8" s="173">
        <f>Workings!D85</f>
        <v>521075</v>
      </c>
      <c r="E8" s="173">
        <f t="shared" ref="E8:E12" si="1">C8+D8</f>
        <v>1176575</v>
      </c>
      <c r="F8" s="104">
        <f t="shared" si="0"/>
        <v>0.26649493391788603</v>
      </c>
      <c r="G8" s="92"/>
      <c r="H8" s="92"/>
      <c r="I8" s="92"/>
      <c r="J8" s="92"/>
    </row>
    <row r="9" spans="1:16" ht="13" x14ac:dyDescent="0.3">
      <c r="A9" s="92"/>
      <c r="B9" s="169" t="s">
        <v>321</v>
      </c>
      <c r="C9" s="173">
        <f>'Annex V 2021 RB XB'!L15</f>
        <v>140000</v>
      </c>
      <c r="D9" s="173">
        <f>0</f>
        <v>0</v>
      </c>
      <c r="E9" s="173">
        <f t="shared" si="1"/>
        <v>140000</v>
      </c>
      <c r="F9" s="104">
        <f t="shared" si="0"/>
        <v>3.1710082866374049E-2</v>
      </c>
      <c r="G9" s="92"/>
      <c r="H9" s="92"/>
      <c r="I9" s="92"/>
      <c r="J9" s="92"/>
    </row>
    <row r="10" spans="1:16" ht="13" x14ac:dyDescent="0.3">
      <c r="A10" s="92"/>
      <c r="B10" s="169" t="str">
        <f>'Annex V 2021 RB XB'!M19</f>
        <v>Monitoring &amp; Evaluation</v>
      </c>
      <c r="C10" s="173">
        <f>'Annex V 2021 RB XB'!L19</f>
        <v>35000</v>
      </c>
      <c r="D10" s="173">
        <f>0</f>
        <v>0</v>
      </c>
      <c r="E10" s="173">
        <f t="shared" si="1"/>
        <v>35000</v>
      </c>
      <c r="F10" s="104">
        <f t="shared" si="0"/>
        <v>7.9275207165935124E-3</v>
      </c>
      <c r="G10" s="92"/>
      <c r="H10" s="92"/>
      <c r="I10" s="92"/>
      <c r="J10" s="92"/>
    </row>
    <row r="11" spans="1:16" ht="13" x14ac:dyDescent="0.3">
      <c r="A11" s="92"/>
      <c r="B11" s="169" t="s">
        <v>325</v>
      </c>
      <c r="C11" s="173"/>
      <c r="D11" s="173">
        <f>Workings!D77+Workings!D60</f>
        <v>867345</v>
      </c>
      <c r="E11" s="173">
        <f t="shared" si="1"/>
        <v>867345</v>
      </c>
      <c r="F11" s="104">
        <f t="shared" si="0"/>
        <v>0.19645415588382287</v>
      </c>
      <c r="G11" s="92"/>
      <c r="H11" s="92"/>
      <c r="I11" s="92"/>
      <c r="J11" s="92"/>
    </row>
    <row r="12" spans="1:16" ht="13.5" thickBot="1" x14ac:dyDescent="0.35">
      <c r="A12" s="92"/>
      <c r="B12" s="170" t="s">
        <v>152</v>
      </c>
      <c r="C12" s="174">
        <f>'Annex V 2021 RB XB'!L18</f>
        <v>533223</v>
      </c>
      <c r="D12" s="174"/>
      <c r="E12" s="174">
        <f t="shared" si="1"/>
        <v>533223</v>
      </c>
      <c r="F12" s="105">
        <f t="shared" si="0"/>
        <v>0.12077532511611835</v>
      </c>
      <c r="G12" s="92"/>
      <c r="H12" s="92"/>
      <c r="I12" s="92"/>
      <c r="J12" s="92"/>
    </row>
    <row r="13" spans="1:16" x14ac:dyDescent="0.25">
      <c r="A13" s="92"/>
      <c r="B13" s="92"/>
      <c r="C13" s="92"/>
      <c r="D13" s="92"/>
      <c r="E13" s="92"/>
      <c r="F13" s="92"/>
      <c r="G13" s="92"/>
      <c r="H13" s="92"/>
      <c r="I13" s="92"/>
      <c r="J13" s="92"/>
    </row>
    <row r="14" spans="1:16" ht="13.5" thickBot="1" x14ac:dyDescent="0.35">
      <c r="A14" s="92"/>
      <c r="B14" s="97" t="s">
        <v>52</v>
      </c>
      <c r="C14" s="106">
        <f>SUM(C6:C13)</f>
        <v>2362283</v>
      </c>
      <c r="D14" s="106">
        <f t="shared" ref="D14:E14" si="2">SUM(D6:D13)</f>
        <v>2052716.5</v>
      </c>
      <c r="E14" s="106">
        <f t="shared" si="2"/>
        <v>4414999.5</v>
      </c>
      <c r="F14" s="102">
        <f>SUM(F6:F12)</f>
        <v>1</v>
      </c>
      <c r="G14" s="92"/>
      <c r="H14" s="92"/>
      <c r="I14" s="92"/>
      <c r="J14" s="92"/>
    </row>
    <row r="15" spans="1:16" ht="13" thickTop="1" x14ac:dyDescent="0.25">
      <c r="A15" s="92"/>
      <c r="B15" s="92"/>
      <c r="C15" s="92"/>
      <c r="D15" s="92"/>
      <c r="E15" s="92"/>
      <c r="F15" s="92"/>
      <c r="G15" s="157"/>
      <c r="H15" s="157"/>
      <c r="I15" s="92"/>
      <c r="J15" s="92"/>
      <c r="K15" s="92"/>
      <c r="L15" s="157"/>
      <c r="M15" s="92"/>
      <c r="N15" s="92"/>
      <c r="O15" s="92"/>
      <c r="P15" s="92"/>
    </row>
    <row r="16" spans="1:16" ht="13" thickBot="1" x14ac:dyDescent="0.3">
      <c r="A16" s="92"/>
      <c r="B16" s="92"/>
      <c r="C16" s="92"/>
      <c r="D16" s="92"/>
      <c r="E16" s="92"/>
      <c r="F16" s="92"/>
      <c r="G16" s="157"/>
      <c r="H16" s="157"/>
      <c r="I16" s="92"/>
      <c r="J16" s="92"/>
      <c r="K16" s="92"/>
      <c r="L16" s="157"/>
      <c r="M16" s="92"/>
      <c r="N16" s="92"/>
      <c r="O16" s="92"/>
      <c r="P16" s="92"/>
    </row>
    <row r="17" spans="1:16" ht="13.5" thickBot="1" x14ac:dyDescent="0.35">
      <c r="A17" s="93" t="s">
        <v>85</v>
      </c>
      <c r="B17" s="177" t="s">
        <v>327</v>
      </c>
      <c r="C17" s="178"/>
      <c r="D17" s="179"/>
      <c r="E17" s="181"/>
      <c r="F17" s="181"/>
      <c r="G17" s="181"/>
      <c r="H17" s="181"/>
      <c r="I17" s="92"/>
      <c r="J17" s="92"/>
      <c r="K17" s="92"/>
      <c r="L17" s="92"/>
    </row>
    <row r="18" spans="1:16" ht="13.5" thickBot="1" x14ac:dyDescent="0.35">
      <c r="A18" s="92"/>
      <c r="B18" s="190"/>
      <c r="C18" s="227">
        <v>2021</v>
      </c>
      <c r="D18" s="228" t="s">
        <v>78</v>
      </c>
      <c r="E18" s="92"/>
      <c r="F18" s="92"/>
      <c r="G18" s="92"/>
      <c r="H18" s="92"/>
      <c r="I18" s="92"/>
      <c r="J18" s="92"/>
      <c r="K18" s="92"/>
      <c r="L18" s="92"/>
    </row>
    <row r="19" spans="1:16" ht="13" x14ac:dyDescent="0.3">
      <c r="A19" s="92"/>
      <c r="B19" s="94" t="s">
        <v>314</v>
      </c>
      <c r="C19" s="99">
        <f>Graphs!C4</f>
        <v>2315000</v>
      </c>
      <c r="D19" s="103">
        <f>C19/$C$23</f>
        <v>0.52434887025468524</v>
      </c>
      <c r="E19" s="92"/>
      <c r="F19" s="92"/>
      <c r="G19" s="185">
        <f>(C6+C8-260000-340000)/39</f>
        <v>23217.948717948719</v>
      </c>
      <c r="H19" s="92"/>
      <c r="I19" s="92"/>
      <c r="J19" s="92"/>
      <c r="K19" s="92"/>
      <c r="L19" s="92"/>
    </row>
    <row r="20" spans="1:16" ht="13" x14ac:dyDescent="0.3">
      <c r="A20" s="92"/>
      <c r="B20" s="95" t="s">
        <v>330</v>
      </c>
      <c r="C20" s="100">
        <f>SUM(Graphs!$C$5:$C$6)</f>
        <v>1750000</v>
      </c>
      <c r="D20" s="104">
        <f>C20/$C$23</f>
        <v>0.39637603582967562</v>
      </c>
      <c r="E20" s="92"/>
      <c r="F20" s="92"/>
      <c r="G20" s="261"/>
      <c r="H20" s="184"/>
      <c r="I20" s="92"/>
      <c r="J20" s="92"/>
      <c r="K20" s="92"/>
      <c r="L20" s="92"/>
    </row>
    <row r="21" spans="1:16" ht="13.5" thickBot="1" x14ac:dyDescent="0.35">
      <c r="A21" s="92"/>
      <c r="B21" s="96" t="s">
        <v>331</v>
      </c>
      <c r="C21" s="101">
        <f>Graphs!C7</f>
        <v>349999.5</v>
      </c>
      <c r="D21" s="105">
        <f>C21/$C$23</f>
        <v>7.927509391563918E-2</v>
      </c>
      <c r="E21" s="92"/>
      <c r="F21" s="92"/>
      <c r="G21" s="92"/>
      <c r="H21" s="184"/>
      <c r="I21" s="185"/>
      <c r="J21" s="92"/>
      <c r="K21" s="92"/>
      <c r="L21" s="92"/>
    </row>
    <row r="22" spans="1:16" x14ac:dyDescent="0.25">
      <c r="A22" s="92"/>
      <c r="B22" s="92"/>
      <c r="C22" s="92"/>
      <c r="D22" s="92"/>
      <c r="E22" s="92"/>
      <c r="F22" s="92"/>
      <c r="G22" s="92"/>
      <c r="H22" s="92"/>
      <c r="I22" s="185"/>
      <c r="J22" s="92"/>
      <c r="K22" s="92"/>
      <c r="L22" s="92"/>
    </row>
    <row r="23" spans="1:16" ht="13.5" thickBot="1" x14ac:dyDescent="0.35">
      <c r="A23" s="92"/>
      <c r="B23" s="97" t="s">
        <v>52</v>
      </c>
      <c r="C23" s="98">
        <f>SUM(C19:C22)</f>
        <v>4414999.5</v>
      </c>
      <c r="D23" s="102">
        <f>SUM(D19:D21)</f>
        <v>1</v>
      </c>
      <c r="E23" s="92"/>
      <c r="F23" s="92"/>
      <c r="G23" s="92"/>
      <c r="H23" s="92"/>
      <c r="I23" s="185"/>
      <c r="J23" s="92"/>
      <c r="K23" s="92"/>
      <c r="L23" s="92"/>
    </row>
    <row r="24" spans="1:16" ht="13" thickTop="1" x14ac:dyDescent="0.25">
      <c r="A24" s="92"/>
      <c r="B24" s="92"/>
      <c r="C24" s="92"/>
      <c r="D24" s="92"/>
      <c r="E24" s="92"/>
      <c r="F24" s="92"/>
      <c r="G24" s="92"/>
      <c r="H24" s="92"/>
      <c r="J24" s="92"/>
      <c r="L24" s="157"/>
      <c r="M24" s="185"/>
      <c r="N24" s="92"/>
      <c r="O24" s="92"/>
      <c r="P24" s="92"/>
    </row>
    <row r="25" spans="1:16" x14ac:dyDescent="0.25">
      <c r="A25" s="157"/>
      <c r="B25" s="157"/>
      <c r="C25" s="157"/>
      <c r="D25" s="157"/>
      <c r="E25" s="157"/>
      <c r="F25" s="157"/>
      <c r="G25" s="157"/>
      <c r="H25" s="157"/>
      <c r="I25" s="157"/>
      <c r="J25" s="157"/>
      <c r="K25" s="157"/>
      <c r="L25" s="157"/>
      <c r="M25" s="185"/>
      <c r="N25" s="92"/>
      <c r="O25" s="92"/>
      <c r="P25" s="92"/>
    </row>
    <row r="26" spans="1:16" x14ac:dyDescent="0.25">
      <c r="A26" s="157"/>
      <c r="B26" s="157"/>
      <c r="C26" s="157"/>
      <c r="D26" s="157"/>
      <c r="E26" s="157"/>
      <c r="F26" s="157"/>
      <c r="G26" s="157"/>
      <c r="H26" s="157"/>
      <c r="I26" s="157"/>
      <c r="J26" s="157"/>
      <c r="K26" s="157"/>
      <c r="L26" s="157"/>
      <c r="M26" s="185"/>
      <c r="N26" s="92"/>
      <c r="O26" s="92"/>
      <c r="P26" s="92"/>
    </row>
    <row r="27" spans="1:16" x14ac:dyDescent="0.25">
      <c r="A27" s="92"/>
      <c r="B27" s="92"/>
      <c r="C27" s="92"/>
      <c r="D27" s="92"/>
      <c r="E27" s="92"/>
      <c r="F27" s="92"/>
      <c r="G27" s="92"/>
      <c r="H27" s="92"/>
      <c r="I27" s="92"/>
      <c r="J27" s="92"/>
      <c r="K27" s="92"/>
      <c r="L27" s="92"/>
      <c r="M27" s="92"/>
      <c r="N27" s="92"/>
      <c r="O27" s="92"/>
      <c r="P27" s="92"/>
    </row>
    <row r="28" spans="1:16" x14ac:dyDescent="0.25">
      <c r="A28" s="92"/>
      <c r="B28" s="92"/>
      <c r="C28" s="92"/>
      <c r="D28" s="92"/>
      <c r="E28" s="92"/>
      <c r="F28" s="92"/>
      <c r="G28" s="92"/>
      <c r="H28" s="92"/>
      <c r="I28" s="92"/>
      <c r="J28" s="92"/>
      <c r="K28" s="92"/>
      <c r="L28" s="92"/>
      <c r="M28" s="92"/>
    </row>
    <row r="29" spans="1:16" x14ac:dyDescent="0.25">
      <c r="A29" s="92"/>
      <c r="B29" s="92"/>
      <c r="C29" s="92"/>
      <c r="D29" s="92"/>
      <c r="E29" s="92"/>
      <c r="F29" s="92"/>
      <c r="G29" s="92"/>
      <c r="H29" s="92"/>
      <c r="I29" s="92"/>
      <c r="J29" s="92"/>
      <c r="K29" s="92"/>
      <c r="L29" s="92"/>
      <c r="M29" s="92"/>
    </row>
    <row r="30" spans="1:16" x14ac:dyDescent="0.25">
      <c r="A30" s="92"/>
      <c r="B30" s="92"/>
      <c r="C30" s="92"/>
      <c r="D30" s="92"/>
      <c r="E30" s="92"/>
      <c r="F30" s="92"/>
      <c r="G30" s="92"/>
      <c r="H30" s="92"/>
      <c r="I30" s="92"/>
      <c r="J30" s="92"/>
      <c r="K30" s="92"/>
      <c r="L30" s="92"/>
      <c r="M30" s="92"/>
    </row>
    <row r="31" spans="1:16" x14ac:dyDescent="0.25">
      <c r="A31" s="92"/>
      <c r="B31" s="92"/>
      <c r="C31" s="92"/>
      <c r="D31" s="92"/>
      <c r="E31" s="92"/>
      <c r="F31" s="92"/>
      <c r="G31" s="92"/>
      <c r="H31" s="92"/>
      <c r="I31" s="92"/>
      <c r="J31" s="92"/>
      <c r="K31" s="92"/>
      <c r="L31" s="92"/>
      <c r="M31" s="92"/>
    </row>
    <row r="32" spans="1:16" x14ac:dyDescent="0.25">
      <c r="A32" s="92"/>
      <c r="B32" s="92"/>
      <c r="C32" s="92"/>
      <c r="D32" s="92"/>
      <c r="E32" s="92"/>
      <c r="F32" s="92"/>
      <c r="G32" s="92"/>
      <c r="H32" s="92"/>
      <c r="I32" s="92"/>
      <c r="J32" s="92"/>
      <c r="K32" s="92"/>
      <c r="L32" s="92"/>
      <c r="M32" s="92"/>
    </row>
    <row r="33" spans="1:13" x14ac:dyDescent="0.25">
      <c r="A33" s="92"/>
      <c r="B33" s="92"/>
      <c r="C33" s="92"/>
      <c r="D33" s="92"/>
      <c r="E33" s="92"/>
      <c r="F33" s="92"/>
      <c r="G33" s="92"/>
      <c r="H33" s="92"/>
      <c r="I33" s="92"/>
      <c r="J33" s="92"/>
      <c r="K33" s="92"/>
      <c r="L33" s="92"/>
      <c r="M33" s="92"/>
    </row>
    <row r="34" spans="1:13" x14ac:dyDescent="0.25">
      <c r="A34" s="92"/>
      <c r="B34" s="92"/>
      <c r="C34" s="92"/>
      <c r="D34" s="92"/>
      <c r="E34" s="92"/>
      <c r="F34" s="92"/>
      <c r="G34" s="92"/>
      <c r="H34" s="92"/>
      <c r="I34" s="92"/>
      <c r="J34" s="92"/>
      <c r="K34" s="92"/>
      <c r="L34" s="92"/>
      <c r="M34" s="92"/>
    </row>
    <row r="35" spans="1:13" x14ac:dyDescent="0.25">
      <c r="A35" s="92"/>
      <c r="B35" s="92"/>
      <c r="C35" s="92"/>
      <c r="D35" s="92"/>
      <c r="E35" s="92"/>
      <c r="F35" s="92"/>
      <c r="G35" s="92"/>
      <c r="H35" s="92"/>
      <c r="I35" s="92"/>
      <c r="J35" s="92"/>
      <c r="K35" s="92"/>
      <c r="L35" s="92"/>
      <c r="M35" s="92"/>
    </row>
    <row r="36" spans="1:13" x14ac:dyDescent="0.25">
      <c r="A36" s="92"/>
      <c r="B36" s="92"/>
      <c r="C36" s="92"/>
      <c r="D36" s="92"/>
      <c r="E36" s="92"/>
      <c r="F36" s="92"/>
      <c r="G36" s="92"/>
      <c r="H36" s="92"/>
      <c r="I36" s="92"/>
      <c r="J36" s="92"/>
      <c r="K36" s="92"/>
      <c r="L36" s="92"/>
      <c r="M36" s="92"/>
    </row>
    <row r="37" spans="1:13" x14ac:dyDescent="0.25">
      <c r="A37" s="92"/>
      <c r="B37" s="92"/>
      <c r="C37" s="92"/>
      <c r="D37" s="92"/>
      <c r="E37" s="92"/>
      <c r="F37" s="92"/>
      <c r="G37" s="92"/>
      <c r="H37" s="92"/>
      <c r="I37" s="92"/>
      <c r="J37" s="92"/>
      <c r="K37" s="92"/>
      <c r="L37" s="92"/>
      <c r="M37" s="92"/>
    </row>
    <row r="38" spans="1:13" x14ac:dyDescent="0.25">
      <c r="A38" s="92"/>
      <c r="B38" s="92"/>
      <c r="C38" s="92"/>
      <c r="D38" s="92"/>
      <c r="E38" s="92"/>
      <c r="F38" s="92"/>
      <c r="G38" s="92"/>
      <c r="H38" s="92"/>
      <c r="I38" s="92"/>
      <c r="J38" s="92"/>
      <c r="K38" s="92"/>
      <c r="L38" s="92"/>
      <c r="M38" s="92"/>
    </row>
    <row r="39" spans="1:13" x14ac:dyDescent="0.25">
      <c r="A39" s="92"/>
      <c r="B39" s="92"/>
      <c r="C39" s="92"/>
      <c r="D39" s="92"/>
      <c r="E39" s="92"/>
      <c r="F39" s="92"/>
      <c r="G39" s="92"/>
      <c r="H39" s="92"/>
      <c r="I39" s="92"/>
      <c r="J39" s="92"/>
      <c r="K39" s="92"/>
      <c r="L39" s="92"/>
      <c r="M39" s="92"/>
    </row>
    <row r="40" spans="1:13" x14ac:dyDescent="0.25">
      <c r="A40" s="92"/>
      <c r="B40" s="92"/>
      <c r="C40" s="92"/>
      <c r="D40" s="92"/>
      <c r="E40" s="92"/>
      <c r="F40" s="92"/>
      <c r="G40" s="92"/>
      <c r="H40" s="92"/>
      <c r="I40" s="92"/>
      <c r="J40" s="92"/>
      <c r="K40" s="92"/>
      <c r="L40" s="92"/>
      <c r="M40" s="92"/>
    </row>
  </sheetData>
  <mergeCells count="3">
    <mergeCell ref="F4:F5"/>
    <mergeCell ref="B4:B5"/>
    <mergeCell ref="C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0"/>
  <sheetViews>
    <sheetView view="pageBreakPreview" zoomScale="75" zoomScaleNormal="60" zoomScalePageLayoutView="60" workbookViewId="0">
      <selection activeCell="C17" sqref="C17"/>
    </sheetView>
  </sheetViews>
  <sheetFormatPr defaultColWidth="9.1796875" defaultRowHeight="12.5" x14ac:dyDescent="0.25"/>
  <cols>
    <col min="1" max="1" width="3.36328125" customWidth="1"/>
    <col min="2" max="2" width="12.6328125" customWidth="1"/>
    <col min="3" max="3" width="84.1796875" bestFit="1" customWidth="1"/>
    <col min="4" max="4" width="14" customWidth="1"/>
    <col min="5" max="5" width="40" customWidth="1"/>
    <col min="6" max="6" width="2.453125" customWidth="1"/>
    <col min="7" max="7" width="15.453125" customWidth="1"/>
    <col min="9" max="9" width="9.81640625" bestFit="1" customWidth="1"/>
  </cols>
  <sheetData>
    <row r="1" spans="2:11" ht="18" x14ac:dyDescent="0.4">
      <c r="B1" s="282"/>
      <c r="C1" s="283"/>
      <c r="D1" s="283"/>
      <c r="E1" s="283"/>
      <c r="F1" s="283"/>
    </row>
    <row r="2" spans="2:11" ht="20" x14ac:dyDescent="0.4">
      <c r="B2" s="284" t="s">
        <v>49</v>
      </c>
      <c r="C2" s="284"/>
      <c r="D2" s="284"/>
      <c r="E2" s="284"/>
    </row>
    <row r="3" spans="2:11" ht="20" x14ac:dyDescent="0.4">
      <c r="B3" s="284" t="s">
        <v>328</v>
      </c>
      <c r="C3" s="284"/>
      <c r="D3" s="284"/>
      <c r="E3" s="284"/>
    </row>
    <row r="8" spans="2:11" s="8" customFormat="1" ht="31" x14ac:dyDescent="0.25">
      <c r="B8" s="4" t="s">
        <v>50</v>
      </c>
      <c r="C8" s="5" t="s">
        <v>0</v>
      </c>
      <c r="D8" s="6" t="s">
        <v>51</v>
      </c>
      <c r="E8" s="5" t="s">
        <v>298</v>
      </c>
      <c r="F8" s="7"/>
    </row>
    <row r="9" spans="2:11" s="48" customFormat="1" ht="25" customHeight="1" x14ac:dyDescent="0.25">
      <c r="B9" s="107">
        <v>1100</v>
      </c>
      <c r="C9" s="42" t="s">
        <v>88</v>
      </c>
      <c r="D9" s="38">
        <f>36*3</f>
        <v>108</v>
      </c>
      <c r="E9" s="43">
        <f>Workings!E41</f>
        <v>930142.5</v>
      </c>
      <c r="F9" s="47"/>
      <c r="G9" s="192"/>
      <c r="H9" s="47"/>
      <c r="I9" s="47"/>
      <c r="J9" s="47"/>
      <c r="K9" s="47"/>
    </row>
    <row r="10" spans="2:11" s="48" customFormat="1" ht="25" customHeight="1" x14ac:dyDescent="0.25">
      <c r="B10" s="107">
        <v>1112</v>
      </c>
      <c r="C10" s="39" t="s">
        <v>87</v>
      </c>
      <c r="D10" s="44"/>
      <c r="E10" s="45">
        <f>50000</f>
        <v>50000</v>
      </c>
      <c r="F10" s="47"/>
      <c r="G10" s="192"/>
      <c r="H10" s="47"/>
      <c r="I10" s="47"/>
      <c r="J10" s="47"/>
      <c r="K10" s="47"/>
    </row>
    <row r="11" spans="2:11" s="48" customFormat="1" ht="25" customHeight="1" x14ac:dyDescent="0.25">
      <c r="B11" s="107">
        <v>1301</v>
      </c>
      <c r="C11" s="46" t="s">
        <v>67</v>
      </c>
      <c r="D11" s="44"/>
      <c r="E11" s="45">
        <f>116000</f>
        <v>116000</v>
      </c>
      <c r="F11" s="47"/>
      <c r="G11" s="192"/>
      <c r="H11" s="47"/>
      <c r="I11" s="47"/>
      <c r="J11" s="47"/>
      <c r="K11" s="47"/>
    </row>
    <row r="12" spans="2:11" s="48" customFormat="1" ht="25" customHeight="1" x14ac:dyDescent="0.25">
      <c r="B12" s="107">
        <v>1601</v>
      </c>
      <c r="C12" s="39" t="s">
        <v>86</v>
      </c>
      <c r="D12" s="44"/>
      <c r="E12" s="45">
        <f>60000</f>
        <v>60000</v>
      </c>
      <c r="F12" s="47"/>
      <c r="G12" s="192"/>
      <c r="H12" s="47"/>
      <c r="I12" s="47"/>
      <c r="J12" s="47"/>
      <c r="K12" s="47"/>
    </row>
    <row r="13" spans="2:11" s="48" customFormat="1" ht="25" customHeight="1" x14ac:dyDescent="0.25">
      <c r="B13" s="107">
        <v>3201</v>
      </c>
      <c r="C13" s="39" t="s">
        <v>68</v>
      </c>
      <c r="D13" s="39"/>
      <c r="E13" s="45">
        <f>1300000-SUM(E9:E12)</f>
        <v>143857.5</v>
      </c>
      <c r="F13" s="47"/>
      <c r="G13" s="192"/>
      <c r="H13" s="47"/>
      <c r="I13" s="158"/>
      <c r="J13" s="47"/>
      <c r="K13" s="47"/>
    </row>
    <row r="14" spans="2:11" s="48" customFormat="1" ht="25" customHeight="1" x14ac:dyDescent="0.25">
      <c r="B14" s="41"/>
      <c r="C14" s="39"/>
      <c r="D14" s="40"/>
      <c r="E14" s="43"/>
      <c r="F14" s="47"/>
      <c r="G14" s="192"/>
      <c r="H14" s="47"/>
      <c r="I14" s="47"/>
      <c r="J14" s="47"/>
      <c r="K14" s="47"/>
    </row>
    <row r="15" spans="2:11" ht="15.5" x14ac:dyDescent="0.35">
      <c r="B15" s="9"/>
      <c r="C15" s="14"/>
      <c r="D15" s="10"/>
      <c r="E15" s="15"/>
      <c r="F15" s="12"/>
      <c r="G15" s="193"/>
      <c r="H15" s="12"/>
      <c r="I15" s="12"/>
      <c r="J15" s="12"/>
      <c r="K15" s="12"/>
    </row>
    <row r="16" spans="2:11" ht="28.5" customHeight="1" x14ac:dyDescent="0.4">
      <c r="B16" s="9"/>
      <c r="C16" s="16" t="s">
        <v>52</v>
      </c>
      <c r="D16" s="17"/>
      <c r="E16" s="18">
        <f>SUM(E9:E14)</f>
        <v>1300000</v>
      </c>
      <c r="F16" s="12"/>
      <c r="G16" s="193"/>
      <c r="H16" s="12"/>
      <c r="I16" s="12"/>
      <c r="J16" s="12"/>
      <c r="K16" s="12"/>
    </row>
    <row r="17" spans="2:6" ht="20" x14ac:dyDescent="0.4">
      <c r="B17" s="19"/>
      <c r="C17" s="13"/>
      <c r="D17" s="20"/>
      <c r="E17" s="13"/>
      <c r="F17" s="11"/>
    </row>
    <row r="20" spans="2:6" x14ac:dyDescent="0.25">
      <c r="E20" s="49"/>
    </row>
  </sheetData>
  <mergeCells count="3">
    <mergeCell ref="B1:F1"/>
    <mergeCell ref="B2:E2"/>
    <mergeCell ref="B3:E3"/>
  </mergeCells>
  <pageMargins left="1.3385826771653544" right="0.74803149606299213" top="0.98425196850393704" bottom="0.98425196850393704" header="0.51181102362204722" footer="0.51181102362204722"/>
  <pageSetup paperSize="9" scale="73"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9"/>
  <sheetViews>
    <sheetView workbookViewId="0">
      <selection activeCell="C14" sqref="C14"/>
    </sheetView>
  </sheetViews>
  <sheetFormatPr defaultColWidth="9.1796875" defaultRowHeight="12.5" x14ac:dyDescent="0.25"/>
  <cols>
    <col min="1" max="1" width="6.453125" customWidth="1"/>
    <col min="2" max="2" width="44.1796875" customWidth="1"/>
    <col min="3" max="3" width="11.36328125" customWidth="1"/>
    <col min="4" max="6" width="11.453125" customWidth="1"/>
    <col min="7" max="7" width="12.36328125" customWidth="1"/>
    <col min="8" max="8" width="11.453125" customWidth="1"/>
  </cols>
  <sheetData>
    <row r="1" spans="1:8" ht="12" customHeight="1" thickBot="1" x14ac:dyDescent="0.5">
      <c r="C1" s="1"/>
      <c r="G1" s="3"/>
    </row>
    <row r="2" spans="1:8" ht="24" customHeight="1" thickBot="1" x14ac:dyDescent="0.4">
      <c r="A2" s="288" t="s">
        <v>159</v>
      </c>
      <c r="B2" s="289"/>
      <c r="C2" s="289"/>
      <c r="D2" s="289"/>
      <c r="E2" s="289"/>
      <c r="F2" s="289"/>
      <c r="G2" s="290"/>
    </row>
    <row r="3" spans="1:8" x14ac:dyDescent="0.25">
      <c r="A3" s="291" t="s">
        <v>50</v>
      </c>
      <c r="B3" s="294" t="s">
        <v>0</v>
      </c>
      <c r="C3" s="297" t="s">
        <v>318</v>
      </c>
      <c r="D3" s="63">
        <v>2021</v>
      </c>
      <c r="E3" s="285" t="s">
        <v>319</v>
      </c>
      <c r="F3" s="285" t="s">
        <v>320</v>
      </c>
      <c r="G3" s="231" t="s">
        <v>304</v>
      </c>
    </row>
    <row r="4" spans="1:8" x14ac:dyDescent="0.25">
      <c r="A4" s="292"/>
      <c r="B4" s="295"/>
      <c r="C4" s="298"/>
      <c r="D4" s="229" t="s">
        <v>1</v>
      </c>
      <c r="E4" s="286"/>
      <c r="F4" s="286"/>
      <c r="G4" s="232">
        <v>2019</v>
      </c>
    </row>
    <row r="5" spans="1:8" ht="13" thickBot="1" x14ac:dyDescent="0.3">
      <c r="A5" s="293"/>
      <c r="B5" s="296"/>
      <c r="C5" s="299"/>
      <c r="D5" s="230" t="s">
        <v>2</v>
      </c>
      <c r="E5" s="287"/>
      <c r="F5" s="287"/>
      <c r="G5" s="233" t="s">
        <v>48</v>
      </c>
    </row>
    <row r="6" spans="1:8" ht="20" customHeight="1" x14ac:dyDescent="0.25">
      <c r="A6" s="50">
        <v>1100</v>
      </c>
      <c r="B6" s="51" t="s">
        <v>4</v>
      </c>
      <c r="C6" s="266">
        <f>'Annex V 2021 RB XB'!C7</f>
        <v>1036217</v>
      </c>
      <c r="D6" s="155">
        <f>'Annex V 2021 RB XB'!D7</f>
        <v>1036217</v>
      </c>
      <c r="E6" s="60">
        <f>'Annex V 2021 RB XB'!E7+'Annex V 2021 RB XB'!G7+'Annex V 2021 RB XB'!H7+'Annex V 2021 RB XB'!I7</f>
        <v>264075</v>
      </c>
      <c r="F6" s="60">
        <f>'Annex V 2021 RB XB'!F7</f>
        <v>772142</v>
      </c>
      <c r="G6" s="269">
        <f>+E6+F6</f>
        <v>1036217</v>
      </c>
    </row>
    <row r="7" spans="1:8" ht="20" customHeight="1" x14ac:dyDescent="0.25">
      <c r="A7" s="52">
        <v>1102</v>
      </c>
      <c r="B7" s="53" t="s">
        <v>69</v>
      </c>
      <c r="C7" s="267">
        <f>'Annex V 2021 RB XB'!C8</f>
        <v>40000</v>
      </c>
      <c r="D7" s="156">
        <f>'Annex V 2021 RB XB'!D8</f>
        <v>40000</v>
      </c>
      <c r="E7" s="153">
        <f>'Annex V 2021 RB XB'!E8+'Annex V 2021 RB XB'!G8+'Annex V 2021 RB XB'!H8+'Annex V 2021 RB XB'!I8</f>
        <v>0</v>
      </c>
      <c r="F7" s="153">
        <f>'Annex V 2021 RB XB'!F8</f>
        <v>40000</v>
      </c>
      <c r="G7" s="270">
        <f>+E7+F7</f>
        <v>40000</v>
      </c>
    </row>
    <row r="8" spans="1:8" ht="20" customHeight="1" x14ac:dyDescent="0.25">
      <c r="A8" s="52">
        <v>1112</v>
      </c>
      <c r="B8" s="53" t="s">
        <v>5</v>
      </c>
      <c r="C8" s="267">
        <f>'Annex V 2021 RB XB'!C9</f>
        <v>40000</v>
      </c>
      <c r="D8" s="156">
        <f>'Annex V 2021 RB XB'!D9</f>
        <v>40000</v>
      </c>
      <c r="E8" s="153">
        <f>'Annex V 2021 RB XB'!E9+'Annex V 2021 RB XB'!G9+'Annex V 2021 RB XB'!H9+'Annex V 2021 RB XB'!I9</f>
        <v>0</v>
      </c>
      <c r="F8" s="153">
        <f>'Annex V 2021 RB XB'!F9</f>
        <v>40000</v>
      </c>
      <c r="G8" s="270">
        <f t="shared" ref="G8:G56" si="0">+E8+F8</f>
        <v>40000</v>
      </c>
    </row>
    <row r="9" spans="1:8" ht="20" customHeight="1" x14ac:dyDescent="0.25">
      <c r="A9" s="52">
        <v>1113</v>
      </c>
      <c r="B9" s="53" t="s">
        <v>16</v>
      </c>
      <c r="C9" s="267">
        <f>'Annex V 2021 RB XB'!C10</f>
        <v>0</v>
      </c>
      <c r="D9" s="156">
        <f>'Annex V 2021 RB XB'!D10</f>
        <v>80000</v>
      </c>
      <c r="E9" s="153">
        <f>'Annex V 2021 RB XB'!E10+'Annex V 2021 RB XB'!G10+'Annex V 2021 RB XB'!H10+'Annex V 2021 RB XB'!I10</f>
        <v>80000</v>
      </c>
      <c r="F9" s="153">
        <f>'Annex V 2021 RB XB'!F10</f>
        <v>0</v>
      </c>
      <c r="G9" s="270">
        <f t="shared" si="0"/>
        <v>80000</v>
      </c>
    </row>
    <row r="10" spans="1:8" s="28" customFormat="1" ht="20" customHeight="1" x14ac:dyDescent="0.3">
      <c r="A10" s="52">
        <v>1115</v>
      </c>
      <c r="B10" s="53" t="s">
        <v>35</v>
      </c>
      <c r="C10" s="267">
        <f>'Annex V 2021 RB XB'!C11</f>
        <v>120000</v>
      </c>
      <c r="D10" s="156">
        <f>'Annex V 2021 RB XB'!D11</f>
        <v>19000</v>
      </c>
      <c r="E10" s="153">
        <f>'Annex V 2021 RB XB'!E11+'Annex V 2021 RB XB'!G11+'Annex V 2021 RB XB'!H11+'Annex V 2021 RB XB'!I11</f>
        <v>19000</v>
      </c>
      <c r="F10" s="153">
        <f>'Annex V 2021 RB XB'!F11</f>
        <v>0</v>
      </c>
      <c r="G10" s="270">
        <f t="shared" si="0"/>
        <v>19000</v>
      </c>
      <c r="H10" s="61"/>
    </row>
    <row r="11" spans="1:8" s="28" customFormat="1" ht="20" customHeight="1" x14ac:dyDescent="0.3">
      <c r="A11" s="52">
        <v>1116</v>
      </c>
      <c r="B11" s="53" t="s">
        <v>36</v>
      </c>
      <c r="C11" s="267">
        <f>'Annex V 2021 RB XB'!C12</f>
        <v>0</v>
      </c>
      <c r="D11" s="156">
        <f>'Annex V 2021 RB XB'!D12</f>
        <v>0</v>
      </c>
      <c r="E11" s="153">
        <f>'Annex V 2021 RB XB'!E12+'Annex V 2021 RB XB'!G12+'Annex V 2021 RB XB'!H12+'Annex V 2021 RB XB'!I12</f>
        <v>0</v>
      </c>
      <c r="F11" s="153">
        <f>'Annex V 2021 RB XB'!F12</f>
        <v>0</v>
      </c>
      <c r="G11" s="270">
        <f t="shared" si="0"/>
        <v>0</v>
      </c>
      <c r="H11" s="61"/>
    </row>
    <row r="12" spans="1:8" s="28" customFormat="1" ht="20" customHeight="1" x14ac:dyDescent="0.3">
      <c r="A12" s="52">
        <v>1117</v>
      </c>
      <c r="B12" s="53" t="s">
        <v>66</v>
      </c>
      <c r="C12" s="267">
        <f>'Annex V 2021 RB XB'!C13</f>
        <v>21654</v>
      </c>
      <c r="D12" s="156">
        <f>'Annex V 2021 RB XB'!D13</f>
        <v>24060</v>
      </c>
      <c r="E12" s="153">
        <f>'Annex V 2021 RB XB'!E13+'Annex V 2021 RB XB'!G13+'Annex V 2021 RB XB'!H13+'Annex V 2021 RB XB'!I13</f>
        <v>24060</v>
      </c>
      <c r="F12" s="153">
        <f>'Annex V 2021 RB XB'!F13</f>
        <v>0</v>
      </c>
      <c r="G12" s="270">
        <f t="shared" si="0"/>
        <v>24060</v>
      </c>
      <c r="H12" s="61"/>
    </row>
    <row r="13" spans="1:8" ht="20" customHeight="1" x14ac:dyDescent="0.25">
      <c r="A13" s="52">
        <v>1300</v>
      </c>
      <c r="B13" s="53" t="s">
        <v>37</v>
      </c>
      <c r="C13" s="267">
        <f>'Annex V 2021 RB XB'!C14</f>
        <v>108000</v>
      </c>
      <c r="D13" s="156">
        <f>'Annex V 2021 RB XB'!D14</f>
        <v>108000</v>
      </c>
      <c r="E13" s="153">
        <f>'Annex V 2021 RB XB'!E14+'Annex V 2021 RB XB'!G14+'Annex V 2021 RB XB'!H14+'Annex V 2021 RB XB'!I14</f>
        <v>0</v>
      </c>
      <c r="F13" s="153">
        <f>'Annex V 2021 RB XB'!F14</f>
        <v>108000</v>
      </c>
      <c r="G13" s="270">
        <f t="shared" si="0"/>
        <v>108000</v>
      </c>
      <c r="H13" s="2"/>
    </row>
    <row r="14" spans="1:8" ht="22.5" customHeight="1" x14ac:dyDescent="0.25">
      <c r="A14" s="52">
        <v>1301</v>
      </c>
      <c r="B14" s="53" t="s">
        <v>6</v>
      </c>
      <c r="C14" s="267">
        <f>'Annex V 2021 RB XB'!C15</f>
        <v>846500</v>
      </c>
      <c r="D14" s="156">
        <f>'Annex V 2021 RB XB'!D15</f>
        <v>846500</v>
      </c>
      <c r="E14" s="153">
        <f>'Annex V 2021 RB XB'!E15+'Annex V 2021 RB XB'!G15+'Annex V 2021 RB XB'!H15+'Annex V 2021 RB XB'!I15</f>
        <v>730500</v>
      </c>
      <c r="F14" s="153">
        <f>'Annex V 2021 RB XB'!F15</f>
        <v>116000</v>
      </c>
      <c r="G14" s="270">
        <f t="shared" si="0"/>
        <v>846500</v>
      </c>
      <c r="H14" s="2"/>
    </row>
    <row r="15" spans="1:8" ht="20" customHeight="1" x14ac:dyDescent="0.25">
      <c r="A15" s="52">
        <v>1306</v>
      </c>
      <c r="B15" s="53" t="s">
        <v>31</v>
      </c>
      <c r="C15" s="267">
        <f>'Annex V 2021 RB XB'!C16</f>
        <v>12000</v>
      </c>
      <c r="D15" s="156">
        <f>'Annex V 2021 RB XB'!D16</f>
        <v>12000</v>
      </c>
      <c r="E15" s="153">
        <f>'Annex V 2021 RB XB'!E16+'Annex V 2021 RB XB'!G16+'Annex V 2021 RB XB'!H16+'Annex V 2021 RB XB'!I16</f>
        <v>12000</v>
      </c>
      <c r="F15" s="153">
        <f>'Annex V 2021 RB XB'!F16</f>
        <v>0</v>
      </c>
      <c r="G15" s="270">
        <f t="shared" si="0"/>
        <v>12000</v>
      </c>
      <c r="H15" s="2"/>
    </row>
    <row r="16" spans="1:8" ht="20" customHeight="1" x14ac:dyDescent="0.25">
      <c r="A16" s="52">
        <v>1307</v>
      </c>
      <c r="B16" s="53" t="s">
        <v>11</v>
      </c>
      <c r="C16" s="267">
        <f>'Annex V 2021 RB XB'!C17</f>
        <v>0</v>
      </c>
      <c r="D16" s="156">
        <f>'Annex V 2021 RB XB'!D17</f>
        <v>0</v>
      </c>
      <c r="E16" s="153">
        <f>'Annex V 2021 RB XB'!E17+'Annex V 2021 RB XB'!G17+'Annex V 2021 RB XB'!H17+'Annex V 2021 RB XB'!I17</f>
        <v>0</v>
      </c>
      <c r="F16" s="153">
        <f>'Annex V 2021 RB XB'!F17</f>
        <v>0</v>
      </c>
      <c r="G16" s="270">
        <f t="shared" si="0"/>
        <v>0</v>
      </c>
      <c r="H16" s="2"/>
    </row>
    <row r="17" spans="1:8" ht="20" customHeight="1" x14ac:dyDescent="0.25">
      <c r="A17" s="52">
        <v>1308</v>
      </c>
      <c r="B17" s="53" t="s">
        <v>12</v>
      </c>
      <c r="C17" s="267">
        <f>'Annex V 2021 RB XB'!C18</f>
        <v>10000</v>
      </c>
      <c r="D17" s="156">
        <f>'Annex V 2021 RB XB'!D18</f>
        <v>10000</v>
      </c>
      <c r="E17" s="153">
        <f>'Annex V 2021 RB XB'!E18+'Annex V 2021 RB XB'!G18+'Annex V 2021 RB XB'!H18+'Annex V 2021 RB XB'!I18</f>
        <v>0</v>
      </c>
      <c r="F17" s="153">
        <f>'Annex V 2021 RB XB'!F18</f>
        <v>10000</v>
      </c>
      <c r="G17" s="270">
        <f t="shared" si="0"/>
        <v>10000</v>
      </c>
      <c r="H17" s="2"/>
    </row>
    <row r="18" spans="1:8" ht="20" customHeight="1" x14ac:dyDescent="0.25">
      <c r="A18" s="52">
        <v>1360</v>
      </c>
      <c r="B18" s="53" t="s">
        <v>38</v>
      </c>
      <c r="C18" s="267">
        <f>'Annex V 2021 RB XB'!C19</f>
        <v>0</v>
      </c>
      <c r="D18" s="156">
        <f>'Annex V 2021 RB XB'!D19</f>
        <v>0</v>
      </c>
      <c r="E18" s="153">
        <f>'Annex V 2021 RB XB'!E19+'Annex V 2021 RB XB'!G19+'Annex V 2021 RB XB'!H19+'Annex V 2021 RB XB'!I19</f>
        <v>0</v>
      </c>
      <c r="F18" s="153">
        <f>'Annex V 2021 RB XB'!F19</f>
        <v>0</v>
      </c>
      <c r="G18" s="270">
        <f t="shared" si="0"/>
        <v>0</v>
      </c>
      <c r="H18" s="2"/>
    </row>
    <row r="19" spans="1:8" ht="20" customHeight="1" x14ac:dyDescent="0.25">
      <c r="A19" s="52">
        <v>1361</v>
      </c>
      <c r="B19" s="53" t="s">
        <v>39</v>
      </c>
      <c r="C19" s="267">
        <f>'Annex V 2021 RB XB'!C20</f>
        <v>0</v>
      </c>
      <c r="D19" s="156">
        <f>'Annex V 2021 RB XB'!D20</f>
        <v>0</v>
      </c>
      <c r="E19" s="153">
        <f>'Annex V 2021 RB XB'!E20+'Annex V 2021 RB XB'!G20+'Annex V 2021 RB XB'!H20+'Annex V 2021 RB XB'!I20</f>
        <v>0</v>
      </c>
      <c r="F19" s="153">
        <f>'Annex V 2021 RB XB'!F20</f>
        <v>0</v>
      </c>
      <c r="G19" s="270">
        <f t="shared" si="0"/>
        <v>0</v>
      </c>
      <c r="H19" s="2"/>
    </row>
    <row r="20" spans="1:8" ht="20" customHeight="1" x14ac:dyDescent="0.25">
      <c r="A20" s="52">
        <v>1363</v>
      </c>
      <c r="B20" s="53" t="s">
        <v>13</v>
      </c>
      <c r="C20" s="267">
        <f>'Annex V 2021 RB XB'!C21</f>
        <v>0</v>
      </c>
      <c r="D20" s="156">
        <f>'Annex V 2021 RB XB'!D21</f>
        <v>0</v>
      </c>
      <c r="E20" s="153">
        <f>'Annex V 2021 RB XB'!E21+'Annex V 2021 RB XB'!G21+'Annex V 2021 RB XB'!H21+'Annex V 2021 RB XB'!I21</f>
        <v>0</v>
      </c>
      <c r="F20" s="153">
        <f>'Annex V 2021 RB XB'!F21</f>
        <v>0</v>
      </c>
      <c r="G20" s="270">
        <f t="shared" si="0"/>
        <v>0</v>
      </c>
      <c r="H20" s="2"/>
    </row>
    <row r="21" spans="1:8" ht="20" customHeight="1" x14ac:dyDescent="0.25">
      <c r="A21" s="52">
        <v>1401</v>
      </c>
      <c r="B21" s="53" t="s">
        <v>19</v>
      </c>
      <c r="C21" s="267">
        <f>'Annex V 2021 RB XB'!C22</f>
        <v>18000</v>
      </c>
      <c r="D21" s="156">
        <f>'Annex V 2021 RB XB'!D22</f>
        <v>18000</v>
      </c>
      <c r="E21" s="153">
        <f>'Annex V 2021 RB XB'!E22+'Annex V 2021 RB XB'!G22+'Annex V 2021 RB XB'!H22+'Annex V 2021 RB XB'!I22</f>
        <v>18000</v>
      </c>
      <c r="F21" s="153">
        <f>'Annex V 2021 RB XB'!F22</f>
        <v>0</v>
      </c>
      <c r="G21" s="270">
        <f t="shared" si="0"/>
        <v>18000</v>
      </c>
      <c r="H21" s="2"/>
    </row>
    <row r="22" spans="1:8" ht="20" customHeight="1" x14ac:dyDescent="0.25">
      <c r="A22" s="52">
        <v>1402</v>
      </c>
      <c r="B22" s="53" t="s">
        <v>20</v>
      </c>
      <c r="C22" s="267">
        <f>'Annex V 2021 RB XB'!C23</f>
        <v>11000</v>
      </c>
      <c r="D22" s="156">
        <f>'Annex V 2021 RB XB'!D23</f>
        <v>11000</v>
      </c>
      <c r="E22" s="153">
        <f>'Annex V 2021 RB XB'!E23+'Annex V 2021 RB XB'!G23+'Annex V 2021 RB XB'!H23+'Annex V 2021 RB XB'!I23</f>
        <v>11000</v>
      </c>
      <c r="F22" s="153">
        <f>'Annex V 2021 RB XB'!F23</f>
        <v>0</v>
      </c>
      <c r="G22" s="270">
        <f t="shared" si="0"/>
        <v>11000</v>
      </c>
      <c r="H22" s="2"/>
    </row>
    <row r="23" spans="1:8" ht="20" customHeight="1" x14ac:dyDescent="0.25">
      <c r="A23" s="52">
        <v>1403</v>
      </c>
      <c r="B23" s="54" t="s">
        <v>21</v>
      </c>
      <c r="C23" s="267">
        <f>'Annex V 2021 RB XB'!C24</f>
        <v>31000</v>
      </c>
      <c r="D23" s="156">
        <f>'Annex V 2021 RB XB'!D24</f>
        <v>31000</v>
      </c>
      <c r="E23" s="153">
        <f>'Annex V 2021 RB XB'!E24+'Annex V 2021 RB XB'!G24+'Annex V 2021 RB XB'!H24+'Annex V 2021 RB XB'!I24</f>
        <v>31000</v>
      </c>
      <c r="F23" s="153">
        <f>'Annex V 2021 RB XB'!F24</f>
        <v>0</v>
      </c>
      <c r="G23" s="270">
        <f t="shared" si="0"/>
        <v>31000</v>
      </c>
      <c r="H23" s="2"/>
    </row>
    <row r="24" spans="1:8" ht="20" customHeight="1" x14ac:dyDescent="0.25">
      <c r="A24" s="52">
        <v>1404</v>
      </c>
      <c r="B24" s="53" t="s">
        <v>22</v>
      </c>
      <c r="C24" s="267">
        <f>'Annex V 2021 RB XB'!C25</f>
        <v>33000</v>
      </c>
      <c r="D24" s="156">
        <f>'Annex V 2021 RB XB'!D25</f>
        <v>33000</v>
      </c>
      <c r="E24" s="153">
        <f>'Annex V 2021 RB XB'!E25+'Annex V 2021 RB XB'!G25+'Annex V 2021 RB XB'!H25+'Annex V 2021 RB XB'!I25</f>
        <v>33000</v>
      </c>
      <c r="F24" s="153">
        <f>'Annex V 2021 RB XB'!F25</f>
        <v>0</v>
      </c>
      <c r="G24" s="270">
        <f t="shared" si="0"/>
        <v>33000</v>
      </c>
      <c r="H24" s="2"/>
    </row>
    <row r="25" spans="1:8" ht="20" customHeight="1" x14ac:dyDescent="0.25">
      <c r="A25" s="52">
        <v>1405</v>
      </c>
      <c r="B25" s="53" t="s">
        <v>23</v>
      </c>
      <c r="C25" s="267">
        <f>'Annex V 2021 RB XB'!C26</f>
        <v>6000</v>
      </c>
      <c r="D25" s="156">
        <f>'Annex V 2021 RB XB'!D26</f>
        <v>6000</v>
      </c>
      <c r="E25" s="153">
        <f>'Annex V 2021 RB XB'!E26+'Annex V 2021 RB XB'!G26+'Annex V 2021 RB XB'!H26+'Annex V 2021 RB XB'!I26</f>
        <v>6000</v>
      </c>
      <c r="F25" s="153">
        <f>'Annex V 2021 RB XB'!F26</f>
        <v>0</v>
      </c>
      <c r="G25" s="270">
        <f t="shared" si="0"/>
        <v>6000</v>
      </c>
      <c r="H25" s="2"/>
    </row>
    <row r="26" spans="1:8" ht="20" customHeight="1" x14ac:dyDescent="0.25">
      <c r="A26" s="52">
        <v>1501</v>
      </c>
      <c r="B26" s="53" t="s">
        <v>14</v>
      </c>
      <c r="C26" s="267">
        <f>'Annex V 2021 RB XB'!C27</f>
        <v>100000</v>
      </c>
      <c r="D26" s="156">
        <f>'Annex V 2021 RB XB'!D27</f>
        <v>50000</v>
      </c>
      <c r="E26" s="153">
        <f>'Annex V 2021 RB XB'!E27+'Annex V 2021 RB XB'!G27+'Annex V 2021 RB XB'!H27+'Annex V 2021 RB XB'!I27</f>
        <v>50000</v>
      </c>
      <c r="F26" s="153">
        <f>'Annex V 2021 RB XB'!F27</f>
        <v>0</v>
      </c>
      <c r="G26" s="270">
        <f t="shared" si="0"/>
        <v>50000</v>
      </c>
      <c r="H26" s="2"/>
    </row>
    <row r="27" spans="1:8" ht="20" customHeight="1" x14ac:dyDescent="0.25">
      <c r="A27" s="52">
        <v>1600</v>
      </c>
      <c r="B27" s="53" t="s">
        <v>15</v>
      </c>
      <c r="C27" s="267">
        <f>'Annex V 2021 RB XB'!C28</f>
        <v>0</v>
      </c>
      <c r="D27" s="156">
        <f>'Annex V 2021 RB XB'!D28</f>
        <v>0</v>
      </c>
      <c r="E27" s="153">
        <f>'Annex V 2021 RB XB'!E28+'Annex V 2021 RB XB'!G28+'Annex V 2021 RB XB'!H28+'Annex V 2021 RB XB'!I28</f>
        <v>0</v>
      </c>
      <c r="F27" s="153">
        <f>'Annex V 2021 RB XB'!F28</f>
        <v>0</v>
      </c>
      <c r="G27" s="270">
        <f t="shared" si="0"/>
        <v>0</v>
      </c>
      <c r="H27" s="2"/>
    </row>
    <row r="28" spans="1:8" ht="20" customHeight="1" x14ac:dyDescent="0.25">
      <c r="A28" s="52">
        <v>1601</v>
      </c>
      <c r="B28" s="53" t="s">
        <v>40</v>
      </c>
      <c r="C28" s="267">
        <f>'Annex V 2021 RB XB'!C29</f>
        <v>207232</v>
      </c>
      <c r="D28" s="156">
        <f>'Annex V 2021 RB XB'!D29</f>
        <v>207223</v>
      </c>
      <c r="E28" s="153">
        <f>'Annex V 2021 RB XB'!E29+'Annex V 2021 RB XB'!G29+'Annex V 2021 RB XB'!H29+'Annex V 2021 RB XB'!I29</f>
        <v>147223</v>
      </c>
      <c r="F28" s="153">
        <f>'Annex V 2021 RB XB'!F29</f>
        <v>60000</v>
      </c>
      <c r="G28" s="270">
        <f t="shared" si="0"/>
        <v>207223</v>
      </c>
      <c r="H28" s="2"/>
    </row>
    <row r="29" spans="1:8" ht="20" customHeight="1" x14ac:dyDescent="0.25">
      <c r="A29" s="52">
        <v>1602</v>
      </c>
      <c r="B29" s="53" t="s">
        <v>17</v>
      </c>
      <c r="C29" s="267">
        <f>'Annex V 2021 RB XB'!C30</f>
        <v>10000</v>
      </c>
      <c r="D29" s="156">
        <f>'Annex V 2021 RB XB'!D30</f>
        <v>10000</v>
      </c>
      <c r="E29" s="153">
        <f>'Annex V 2021 RB XB'!E30+'Annex V 2021 RB XB'!G30+'Annex V 2021 RB XB'!H30+'Annex V 2021 RB XB'!I30</f>
        <v>0</v>
      </c>
      <c r="F29" s="153">
        <f>'Annex V 2021 RB XB'!F30</f>
        <v>10000</v>
      </c>
      <c r="G29" s="270">
        <f t="shared" si="0"/>
        <v>10000</v>
      </c>
      <c r="H29" s="2"/>
    </row>
    <row r="30" spans="1:8" ht="20" customHeight="1" x14ac:dyDescent="0.25">
      <c r="A30" s="52">
        <v>2001</v>
      </c>
      <c r="B30" s="53" t="s">
        <v>32</v>
      </c>
      <c r="C30" s="267">
        <f>'Annex V 2021 RB XB'!C31</f>
        <v>0</v>
      </c>
      <c r="D30" s="156">
        <f>'Annex V 2021 RB XB'!D31</f>
        <v>0</v>
      </c>
      <c r="E30" s="153">
        <f>'Annex V 2021 RB XB'!E31+'Annex V 2021 RB XB'!G31+'Annex V 2021 RB XB'!H31+'Annex V 2021 RB XB'!I31</f>
        <v>0</v>
      </c>
      <c r="F30" s="153">
        <f>'Annex V 2021 RB XB'!F31</f>
        <v>0</v>
      </c>
      <c r="G30" s="270">
        <f t="shared" si="0"/>
        <v>0</v>
      </c>
      <c r="H30" s="2"/>
    </row>
    <row r="31" spans="1:8" ht="20" customHeight="1" x14ac:dyDescent="0.25">
      <c r="A31" s="52">
        <v>2020</v>
      </c>
      <c r="B31" s="53" t="s">
        <v>18</v>
      </c>
      <c r="C31" s="267">
        <f>'Annex V 2021 RB XB'!C32</f>
        <v>0</v>
      </c>
      <c r="D31" s="156">
        <f>'Annex V 2021 RB XB'!D32</f>
        <v>0</v>
      </c>
      <c r="E31" s="153">
        <f>'Annex V 2021 RB XB'!E32+'Annex V 2021 RB XB'!G32+'Annex V 2021 RB XB'!H32+'Annex V 2021 RB XB'!I32</f>
        <v>0</v>
      </c>
      <c r="F31" s="153">
        <f>'Annex V 2021 RB XB'!F32</f>
        <v>0</v>
      </c>
      <c r="G31" s="270">
        <f t="shared" si="0"/>
        <v>0</v>
      </c>
      <c r="H31" s="2"/>
    </row>
    <row r="32" spans="1:8" ht="20" customHeight="1" x14ac:dyDescent="0.25">
      <c r="A32" s="52">
        <v>2040</v>
      </c>
      <c r="B32" s="53" t="s">
        <v>41</v>
      </c>
      <c r="C32" s="267">
        <f>'Annex V 2021 RB XB'!C33</f>
        <v>0</v>
      </c>
      <c r="D32" s="156">
        <f>'Annex V 2021 RB XB'!D33</f>
        <v>0</v>
      </c>
      <c r="E32" s="153">
        <f>'Annex V 2021 RB XB'!E33+'Annex V 2021 RB XB'!G33+'Annex V 2021 RB XB'!H33+'Annex V 2021 RB XB'!I33</f>
        <v>0</v>
      </c>
      <c r="F32" s="153">
        <f>'Annex V 2021 RB XB'!F33</f>
        <v>0</v>
      </c>
      <c r="G32" s="270">
        <f t="shared" si="0"/>
        <v>0</v>
      </c>
      <c r="H32" s="2"/>
    </row>
    <row r="33" spans="1:8" ht="20" customHeight="1" x14ac:dyDescent="0.25">
      <c r="A33" s="52">
        <v>3100</v>
      </c>
      <c r="B33" s="53" t="s">
        <v>65</v>
      </c>
      <c r="C33" s="267">
        <f>'Annex V 2021 RB XB'!C34</f>
        <v>51500</v>
      </c>
      <c r="D33" s="156">
        <f>'Annex V 2021 RB XB'!D34</f>
        <v>25500</v>
      </c>
      <c r="E33" s="153">
        <f>'Annex V 2021 RB XB'!E34+'Annex V 2021 RB XB'!G34+'Annex V 2021 RB XB'!H34+'Annex V 2021 RB XB'!I34</f>
        <v>25500</v>
      </c>
      <c r="F33" s="153">
        <f>'Annex V 2021 RB XB'!F34</f>
        <v>0</v>
      </c>
      <c r="G33" s="270">
        <f t="shared" si="0"/>
        <v>25500</v>
      </c>
      <c r="H33" s="2"/>
    </row>
    <row r="34" spans="1:8" ht="20" customHeight="1" x14ac:dyDescent="0.25">
      <c r="A34" s="52">
        <v>3200</v>
      </c>
      <c r="B34" s="53" t="s">
        <v>7</v>
      </c>
      <c r="C34" s="267">
        <f>'Annex V 2021 RB XB'!C35</f>
        <v>60000</v>
      </c>
      <c r="D34" s="156">
        <f>'Annex V 2021 RB XB'!D35</f>
        <v>60000</v>
      </c>
      <c r="E34" s="153">
        <f>'Annex V 2021 RB XB'!E35+'Annex V 2021 RB XB'!G35+'Annex V 2021 RB XB'!H35+'Annex V 2021 RB XB'!I35</f>
        <v>60000</v>
      </c>
      <c r="F34" s="153">
        <f>'Annex V 2021 RB XB'!F35</f>
        <v>0</v>
      </c>
      <c r="G34" s="270">
        <f t="shared" si="0"/>
        <v>60000</v>
      </c>
    </row>
    <row r="35" spans="1:8" s="29" customFormat="1" ht="26.25" customHeight="1" x14ac:dyDescent="0.25">
      <c r="A35" s="52">
        <v>3201</v>
      </c>
      <c r="B35" s="62" t="s">
        <v>70</v>
      </c>
      <c r="C35" s="267">
        <f>'Annex V 2021 RB XB'!C36</f>
        <v>1751000</v>
      </c>
      <c r="D35" s="156">
        <f>'Annex V 2021 RB XB'!D36</f>
        <v>540000</v>
      </c>
      <c r="E35" s="153">
        <f>'Annex V 2021 RB XB'!E36+'Annex V 2021 RB XB'!G36+'Annex V 2021 RB XB'!H36+'Annex V 2021 RB XB'!I36</f>
        <v>396142.5</v>
      </c>
      <c r="F35" s="153">
        <f>'Annex V 2021 RB XB'!F36</f>
        <v>143857.5</v>
      </c>
      <c r="G35" s="270">
        <f t="shared" si="0"/>
        <v>540000</v>
      </c>
    </row>
    <row r="36" spans="1:8" ht="20" customHeight="1" x14ac:dyDescent="0.25">
      <c r="A36" s="52">
        <v>3205</v>
      </c>
      <c r="B36" s="53" t="s">
        <v>29</v>
      </c>
      <c r="C36" s="267">
        <f>'Annex V 2021 RB XB'!C37</f>
        <v>0</v>
      </c>
      <c r="D36" s="156">
        <f>'Annex V 2021 RB XB'!D37</f>
        <v>0</v>
      </c>
      <c r="E36" s="153">
        <f>'Annex V 2021 RB XB'!E37+'Annex V 2021 RB XB'!G37+'Annex V 2021 RB XB'!H37+'Annex V 2021 RB XB'!I37</f>
        <v>0</v>
      </c>
      <c r="F36" s="153">
        <f>'Annex V 2021 RB XB'!F37</f>
        <v>0</v>
      </c>
      <c r="G36" s="270">
        <f t="shared" si="0"/>
        <v>0</v>
      </c>
    </row>
    <row r="37" spans="1:8" ht="20" customHeight="1" x14ac:dyDescent="0.25">
      <c r="A37" s="52">
        <v>3206</v>
      </c>
      <c r="B37" s="53" t="s">
        <v>72</v>
      </c>
      <c r="C37" s="267">
        <f>'Annex V 2021 RB XB'!C38</f>
        <v>93600</v>
      </c>
      <c r="D37" s="156">
        <f>'Annex V 2021 RB XB'!D38</f>
        <v>39000</v>
      </c>
      <c r="E37" s="153">
        <f>'Annex V 2021 RB XB'!E38+'Annex V 2021 RB XB'!G38+'Annex V 2021 RB XB'!H38+'Annex V 2021 RB XB'!I38</f>
        <v>39000</v>
      </c>
      <c r="F37" s="153">
        <f>'Annex V 2021 RB XB'!F38</f>
        <v>0</v>
      </c>
      <c r="G37" s="270">
        <f t="shared" si="0"/>
        <v>39000</v>
      </c>
    </row>
    <row r="38" spans="1:8" ht="20" customHeight="1" x14ac:dyDescent="0.25">
      <c r="A38" s="52">
        <v>3211</v>
      </c>
      <c r="B38" s="53" t="s">
        <v>73</v>
      </c>
      <c r="C38" s="267">
        <f>'Annex V 2021 RB XB'!C39</f>
        <v>260000</v>
      </c>
      <c r="D38" s="156">
        <f>'Annex V 2021 RB XB'!D39</f>
        <v>260000</v>
      </c>
      <c r="E38" s="153">
        <f>'Annex V 2021 RB XB'!E39+'Annex V 2021 RB XB'!G39+'Annex V 2021 RB XB'!H39+'Annex V 2021 RB XB'!I39</f>
        <v>260000</v>
      </c>
      <c r="F38" s="153">
        <f>'Annex V 2021 RB XB'!F39</f>
        <v>0</v>
      </c>
      <c r="G38" s="270">
        <f t="shared" si="0"/>
        <v>260000</v>
      </c>
    </row>
    <row r="39" spans="1:8" ht="20" customHeight="1" x14ac:dyDescent="0.25">
      <c r="A39" s="52">
        <v>4001</v>
      </c>
      <c r="B39" s="53" t="s">
        <v>33</v>
      </c>
      <c r="C39" s="267">
        <f>'Annex V 2021 RB XB'!C40</f>
        <v>0</v>
      </c>
      <c r="D39" s="156">
        <f>'Annex V 2021 RB XB'!D40</f>
        <v>0</v>
      </c>
      <c r="E39" s="153">
        <f>'Annex V 2021 RB XB'!E40+'Annex V 2021 RB XB'!G40+'Annex V 2021 RB XB'!H40+'Annex V 2021 RB XB'!I40</f>
        <v>0</v>
      </c>
      <c r="F39" s="153">
        <f>'Annex V 2021 RB XB'!F40</f>
        <v>0</v>
      </c>
      <c r="G39" s="270">
        <f t="shared" si="0"/>
        <v>0</v>
      </c>
    </row>
    <row r="40" spans="1:8" ht="20" customHeight="1" x14ac:dyDescent="0.25">
      <c r="A40" s="52">
        <v>4002</v>
      </c>
      <c r="B40" s="53" t="s">
        <v>47</v>
      </c>
      <c r="C40" s="267">
        <f>'Annex V 2021 RB XB'!C41</f>
        <v>6000</v>
      </c>
      <c r="D40" s="156">
        <f>'Annex V 2021 RB XB'!D41</f>
        <v>6000</v>
      </c>
      <c r="E40" s="153">
        <f>'Annex V 2021 RB XB'!E41+'Annex V 2021 RB XB'!G41+'Annex V 2021 RB XB'!H41+'Annex V 2021 RB XB'!I41</f>
        <v>6000</v>
      </c>
      <c r="F40" s="153">
        <f>'Annex V 2021 RB XB'!F41</f>
        <v>0</v>
      </c>
      <c r="G40" s="270">
        <f t="shared" si="0"/>
        <v>6000</v>
      </c>
    </row>
    <row r="41" spans="1:8" ht="20" customHeight="1" x14ac:dyDescent="0.25">
      <c r="A41" s="52">
        <v>4003</v>
      </c>
      <c r="B41" s="53" t="s">
        <v>42</v>
      </c>
      <c r="C41" s="267">
        <f>'Annex V 2021 RB XB'!C42</f>
        <v>10000</v>
      </c>
      <c r="D41" s="156">
        <f>'Annex V 2021 RB XB'!D42</f>
        <v>20000</v>
      </c>
      <c r="E41" s="153">
        <f>'Annex V 2021 RB XB'!E42+'Annex V 2021 RB XB'!G42+'Annex V 2021 RB XB'!H42+'Annex V 2021 RB XB'!I42</f>
        <v>20000</v>
      </c>
      <c r="F41" s="153">
        <f>'Annex V 2021 RB XB'!F42</f>
        <v>0</v>
      </c>
      <c r="G41" s="270">
        <f t="shared" si="0"/>
        <v>20000</v>
      </c>
    </row>
    <row r="42" spans="1:8" ht="20" customHeight="1" x14ac:dyDescent="0.25">
      <c r="A42" s="52">
        <v>4004</v>
      </c>
      <c r="B42" s="53" t="s">
        <v>26</v>
      </c>
      <c r="C42" s="267">
        <f>'Annex V 2021 RB XB'!C43</f>
        <v>0</v>
      </c>
      <c r="D42" s="156">
        <f>'Annex V 2021 RB XB'!D43</f>
        <v>0</v>
      </c>
      <c r="E42" s="153">
        <f>'Annex V 2021 RB XB'!E43+'Annex V 2021 RB XB'!G43+'Annex V 2021 RB XB'!H43+'Annex V 2021 RB XB'!I43</f>
        <v>0</v>
      </c>
      <c r="F42" s="153">
        <f>'Annex V 2021 RB XB'!F43</f>
        <v>0</v>
      </c>
      <c r="G42" s="270">
        <f t="shared" si="0"/>
        <v>0</v>
      </c>
    </row>
    <row r="43" spans="1:8" ht="20" customHeight="1" x14ac:dyDescent="0.25">
      <c r="A43" s="52">
        <v>4030</v>
      </c>
      <c r="B43" s="53" t="s">
        <v>25</v>
      </c>
      <c r="C43" s="267">
        <f>'Annex V 2021 RB XB'!C44</f>
        <v>2000</v>
      </c>
      <c r="D43" s="156">
        <f>'Annex V 2021 RB XB'!D44</f>
        <v>2000</v>
      </c>
      <c r="E43" s="153">
        <f>'Annex V 2021 RB XB'!E44+'Annex V 2021 RB XB'!G44+'Annex V 2021 RB XB'!H44+'Annex V 2021 RB XB'!I44</f>
        <v>2000</v>
      </c>
      <c r="F43" s="153">
        <f>'Annex V 2021 RB XB'!F44</f>
        <v>0</v>
      </c>
      <c r="G43" s="270">
        <f t="shared" si="0"/>
        <v>2000</v>
      </c>
    </row>
    <row r="44" spans="1:8" ht="20" customHeight="1" x14ac:dyDescent="0.25">
      <c r="A44" s="52">
        <v>4035</v>
      </c>
      <c r="B44" s="53" t="s">
        <v>43</v>
      </c>
      <c r="C44" s="267">
        <f>'Annex V 2021 RB XB'!C45</f>
        <v>0</v>
      </c>
      <c r="D44" s="156">
        <f>'Annex V 2021 RB XB'!D45</f>
        <v>0</v>
      </c>
      <c r="E44" s="153">
        <f>'Annex V 2021 RB XB'!E45+'Annex V 2021 RB XB'!G45+'Annex V 2021 RB XB'!H45+'Annex V 2021 RB XB'!I45</f>
        <v>0</v>
      </c>
      <c r="F44" s="153">
        <f>'Annex V 2021 RB XB'!F45</f>
        <v>0</v>
      </c>
      <c r="G44" s="270">
        <f t="shared" si="0"/>
        <v>0</v>
      </c>
    </row>
    <row r="45" spans="1:8" ht="20" customHeight="1" x14ac:dyDescent="0.25">
      <c r="A45" s="52">
        <v>4100</v>
      </c>
      <c r="B45" s="53" t="s">
        <v>28</v>
      </c>
      <c r="C45" s="267">
        <f>'Annex V 2021 RB XB'!C46</f>
        <v>9000</v>
      </c>
      <c r="D45" s="156">
        <f>'Annex V 2021 RB XB'!D46</f>
        <v>9000</v>
      </c>
      <c r="E45" s="153">
        <f>'Annex V 2021 RB XB'!E46+'Annex V 2021 RB XB'!G46+'Annex V 2021 RB XB'!H46+'Annex V 2021 RB XB'!I46</f>
        <v>9000</v>
      </c>
      <c r="F45" s="153">
        <f>'Annex V 2021 RB XB'!F46</f>
        <v>0</v>
      </c>
      <c r="G45" s="270">
        <f t="shared" si="0"/>
        <v>9000</v>
      </c>
    </row>
    <row r="46" spans="1:8" ht="20" customHeight="1" x14ac:dyDescent="0.25">
      <c r="A46" s="52">
        <v>4200</v>
      </c>
      <c r="B46" s="53" t="s">
        <v>30</v>
      </c>
      <c r="C46" s="267">
        <f>'Annex V 2021 RB XB'!C47</f>
        <v>50000</v>
      </c>
      <c r="D46" s="156">
        <f>'Annex V 2021 RB XB'!D47</f>
        <v>30000</v>
      </c>
      <c r="E46" s="153">
        <f>'Annex V 2021 RB XB'!E47+'Annex V 2021 RB XB'!G47+'Annex V 2021 RB XB'!H47+'Annex V 2021 RB XB'!I47</f>
        <v>30000</v>
      </c>
      <c r="F46" s="153">
        <f>'Annex V 2021 RB XB'!F47</f>
        <v>0</v>
      </c>
      <c r="G46" s="270">
        <f t="shared" si="0"/>
        <v>30000</v>
      </c>
    </row>
    <row r="47" spans="1:8" ht="20" customHeight="1" x14ac:dyDescent="0.25">
      <c r="A47" s="52">
        <v>4300</v>
      </c>
      <c r="B47" s="53" t="s">
        <v>8</v>
      </c>
      <c r="C47" s="267">
        <f>'Annex V 2021 RB XB'!C48</f>
        <v>40000</v>
      </c>
      <c r="D47" s="156">
        <f>'Annex V 2021 RB XB'!D48</f>
        <v>30000</v>
      </c>
      <c r="E47" s="153">
        <f>'Annex V 2021 RB XB'!E48+'Annex V 2021 RB XB'!G48+'Annex V 2021 RB XB'!H48+'Annex V 2021 RB XB'!I48</f>
        <v>30000</v>
      </c>
      <c r="F47" s="153">
        <f>'Annex V 2021 RB XB'!F48</f>
        <v>0</v>
      </c>
      <c r="G47" s="270">
        <f t="shared" si="0"/>
        <v>30000</v>
      </c>
    </row>
    <row r="48" spans="1:8" ht="20" customHeight="1" x14ac:dyDescent="0.25">
      <c r="A48" s="55">
        <v>4400</v>
      </c>
      <c r="B48" s="53" t="s">
        <v>9</v>
      </c>
      <c r="C48" s="267">
        <f>'Annex V 2021 RB XB'!C49</f>
        <v>56000</v>
      </c>
      <c r="D48" s="156">
        <f>'Annex V 2021 RB XB'!D49</f>
        <v>56000</v>
      </c>
      <c r="E48" s="153">
        <f>'Annex V 2021 RB XB'!E49+'Annex V 2021 RB XB'!G49+'Annex V 2021 RB XB'!H49+'Annex V 2021 RB XB'!I49</f>
        <v>56000</v>
      </c>
      <c r="F48" s="153">
        <f>'Annex V 2021 RB XB'!F49</f>
        <v>0</v>
      </c>
      <c r="G48" s="270">
        <f t="shared" si="0"/>
        <v>56000</v>
      </c>
    </row>
    <row r="49" spans="1:7" ht="20" customHeight="1" x14ac:dyDescent="0.25">
      <c r="A49" s="55">
        <v>4410</v>
      </c>
      <c r="B49" s="53" t="s">
        <v>64</v>
      </c>
      <c r="C49" s="267">
        <f>'Annex V 2021 RB XB'!C50</f>
        <v>75000</v>
      </c>
      <c r="D49" s="156">
        <f>'Annex V 2021 RB XB'!D50</f>
        <v>45000</v>
      </c>
      <c r="E49" s="153">
        <f>'Annex V 2021 RB XB'!E50+'Annex V 2021 RB XB'!G50+'Annex V 2021 RB XB'!H50+'Annex V 2021 RB XB'!I50</f>
        <v>45000</v>
      </c>
      <c r="F49" s="153">
        <f>'Annex V 2021 RB XB'!F50</f>
        <v>0</v>
      </c>
      <c r="G49" s="270">
        <f t="shared" si="0"/>
        <v>45000</v>
      </c>
    </row>
    <row r="50" spans="1:7" ht="20" customHeight="1" x14ac:dyDescent="0.25">
      <c r="A50" s="55">
        <v>4500</v>
      </c>
      <c r="B50" s="53" t="s">
        <v>34</v>
      </c>
      <c r="C50" s="267">
        <f>'Annex V 2021 RB XB'!C51</f>
        <v>5000</v>
      </c>
      <c r="D50" s="156">
        <f>'Annex V 2021 RB XB'!D51</f>
        <v>5000</v>
      </c>
      <c r="E50" s="153">
        <f>'Annex V 2021 RB XB'!E51+'Annex V 2021 RB XB'!G51+'Annex V 2021 RB XB'!H51+'Annex V 2021 RB XB'!I51</f>
        <v>5000</v>
      </c>
      <c r="F50" s="153">
        <f>'Annex V 2021 RB XB'!F51</f>
        <v>0</v>
      </c>
      <c r="G50" s="270">
        <f t="shared" si="0"/>
        <v>5000</v>
      </c>
    </row>
    <row r="51" spans="1:7" ht="20" customHeight="1" x14ac:dyDescent="0.25">
      <c r="A51" s="55">
        <v>4600</v>
      </c>
      <c r="B51" s="53" t="s">
        <v>10</v>
      </c>
      <c r="C51" s="267">
        <f>'Annex V 2021 RB XB'!C52</f>
        <v>0</v>
      </c>
      <c r="D51" s="156">
        <f>'Annex V 2021 RB XB'!D52</f>
        <v>0</v>
      </c>
      <c r="E51" s="153">
        <f>'Annex V 2021 RB XB'!E52+'Annex V 2021 RB XB'!G52+'Annex V 2021 RB XB'!H52+'Annex V 2021 RB XB'!I52</f>
        <v>0</v>
      </c>
      <c r="F51" s="153">
        <f>'Annex V 2021 RB XB'!F52</f>
        <v>0</v>
      </c>
      <c r="G51" s="270">
        <f t="shared" si="0"/>
        <v>0</v>
      </c>
    </row>
    <row r="52" spans="1:7" ht="20" customHeight="1" x14ac:dyDescent="0.25">
      <c r="A52" s="55">
        <v>5010</v>
      </c>
      <c r="B52" s="53" t="s">
        <v>24</v>
      </c>
      <c r="C52" s="267">
        <f>'Annex V 2021 RB XB'!C53</f>
        <v>0</v>
      </c>
      <c r="D52" s="156">
        <f>'Annex V 2021 RB XB'!D53</f>
        <v>10000</v>
      </c>
      <c r="E52" s="153">
        <f>'Annex V 2021 RB XB'!E53+'Annex V 2021 RB XB'!G53+'Annex V 2021 RB XB'!H53+'Annex V 2021 RB XB'!I53</f>
        <v>10000</v>
      </c>
      <c r="F52" s="153">
        <f>'Annex V 2021 RB XB'!F53</f>
        <v>0</v>
      </c>
      <c r="G52" s="270">
        <f t="shared" si="0"/>
        <v>10000</v>
      </c>
    </row>
    <row r="53" spans="1:7" ht="20" customHeight="1" x14ac:dyDescent="0.25">
      <c r="A53" s="55">
        <v>5040</v>
      </c>
      <c r="B53" s="53" t="s">
        <v>263</v>
      </c>
      <c r="C53" s="267">
        <f>'Annex V 2021 RB XB'!C54</f>
        <v>470000</v>
      </c>
      <c r="D53" s="156">
        <f>'Annex V 2021 RB XB'!D54</f>
        <v>630000</v>
      </c>
      <c r="E53" s="153">
        <f>'Annex V 2021 RB XB'!E54+'Annex V 2021 RB XB'!G54+'Annex V 2021 RB XB'!H54+'Annex V 2021 RB XB'!I54</f>
        <v>630000</v>
      </c>
      <c r="F53" s="153">
        <f>'Annex V 2021 RB XB'!F54</f>
        <v>0</v>
      </c>
      <c r="G53" s="270">
        <f t="shared" si="0"/>
        <v>630000</v>
      </c>
    </row>
    <row r="54" spans="1:7" s="29" customFormat="1" ht="20" customHeight="1" x14ac:dyDescent="0.25">
      <c r="A54" s="55">
        <v>5200</v>
      </c>
      <c r="B54" s="53" t="s">
        <v>44</v>
      </c>
      <c r="C54" s="267">
        <f>'Annex V 2021 RB XB'!C55</f>
        <v>20000</v>
      </c>
      <c r="D54" s="156">
        <f>'Annex V 2021 RB XB'!D55</f>
        <v>25500</v>
      </c>
      <c r="E54" s="153">
        <f>'Annex V 2021 RB XB'!E55+'Annex V 2021 RB XB'!G55+'Annex V 2021 RB XB'!H55+'Annex V 2021 RB XB'!I55</f>
        <v>25500</v>
      </c>
      <c r="F54" s="153">
        <f>'Annex V 2021 RB XB'!F55</f>
        <v>0</v>
      </c>
      <c r="G54" s="270">
        <f t="shared" si="0"/>
        <v>25500</v>
      </c>
    </row>
    <row r="55" spans="1:7" ht="20" customHeight="1" x14ac:dyDescent="0.25">
      <c r="A55" s="55">
        <v>5300</v>
      </c>
      <c r="B55" s="53" t="s">
        <v>27</v>
      </c>
      <c r="C55" s="267">
        <f>'Annex V 2021 RB XB'!C56</f>
        <v>5000</v>
      </c>
      <c r="D55" s="156">
        <f>'Annex V 2021 RB XB'!D56</f>
        <v>5000</v>
      </c>
      <c r="E55" s="153">
        <f>'Annex V 2021 RB XB'!E56+'Annex V 2021 RB XB'!G56+'Annex V 2021 RB XB'!H56+'Annex V 2021 RB XB'!I56</f>
        <v>5000</v>
      </c>
      <c r="F55" s="153">
        <f>'Annex V 2021 RB XB'!F56</f>
        <v>0</v>
      </c>
      <c r="G55" s="270">
        <f t="shared" si="0"/>
        <v>5000</v>
      </c>
    </row>
    <row r="56" spans="1:7" ht="20" customHeight="1" x14ac:dyDescent="0.25">
      <c r="A56" s="56">
        <v>5400</v>
      </c>
      <c r="B56" s="57" t="s">
        <v>45</v>
      </c>
      <c r="C56" s="267">
        <f>'Annex V 2021 RB XB'!C57</f>
        <v>35000</v>
      </c>
      <c r="D56" s="156">
        <f>'Annex V 2021 RB XB'!D57</f>
        <v>35000</v>
      </c>
      <c r="E56" s="154">
        <f>'Annex V 2021 RB XB'!E57+'Annex V 2021 RB XB'!G57+'Annex V 2021 RB XB'!H57+'Annex V 2021 RB XB'!I57</f>
        <v>35000</v>
      </c>
      <c r="F56" s="154">
        <f>'Annex V 2021 RB XB'!F58</f>
        <v>0</v>
      </c>
      <c r="G56" s="270">
        <f t="shared" si="0"/>
        <v>35000</v>
      </c>
    </row>
    <row r="57" spans="1:7" ht="20" customHeight="1" thickBot="1" x14ac:dyDescent="0.3">
      <c r="A57" s="58"/>
      <c r="B57" s="59" t="s">
        <v>46</v>
      </c>
      <c r="C57" s="268">
        <f t="shared" ref="C57:G57" si="1">SUM(C6:C56)</f>
        <v>5649703</v>
      </c>
      <c r="D57" s="64">
        <f t="shared" si="1"/>
        <v>4415000</v>
      </c>
      <c r="E57" s="152">
        <f t="shared" si="1"/>
        <v>3115000.5</v>
      </c>
      <c r="F57" s="152">
        <f>SUM(F6:F56)</f>
        <v>1299999.5</v>
      </c>
      <c r="G57" s="223">
        <f t="shared" si="1"/>
        <v>4415000</v>
      </c>
    </row>
    <row r="58" spans="1:7" x14ac:dyDescent="0.25">
      <c r="D58" s="49"/>
      <c r="E58" s="49"/>
    </row>
    <row r="59" spans="1:7" x14ac:dyDescent="0.25">
      <c r="D59" s="49"/>
    </row>
  </sheetData>
  <mergeCells count="6">
    <mergeCell ref="E3:E5"/>
    <mergeCell ref="F3:F5"/>
    <mergeCell ref="A2:G2"/>
    <mergeCell ref="A3:A5"/>
    <mergeCell ref="B3:B5"/>
    <mergeCell ref="C3:C5"/>
  </mergeCells>
  <printOptions horizontalCentered="1" verticalCentered="1"/>
  <pageMargins left="0.35433070866141736" right="0.23622047244094491" top="0.23622047244094491" bottom="0" header="0.31496062992125984" footer="0.31496062992125984"/>
  <pageSetup scale="6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33"/>
  <sheetViews>
    <sheetView view="pageBreakPreview" zoomScale="80" zoomScaleSheetLayoutView="80" workbookViewId="0">
      <selection activeCell="C13" sqref="C13"/>
    </sheetView>
  </sheetViews>
  <sheetFormatPr defaultColWidth="11.453125" defaultRowHeight="12.5" x14ac:dyDescent="0.25"/>
  <cols>
    <col min="1" max="1" width="8.453125" style="48" customWidth="1"/>
    <col min="2" max="2" width="72.453125" style="48" customWidth="1"/>
    <col min="3" max="3" width="35.6328125" style="48" bestFit="1" customWidth="1"/>
    <col min="4" max="4" width="19.453125" style="48" customWidth="1"/>
    <col min="5" max="5" width="11.453125" style="48" customWidth="1"/>
    <col min="6" max="16384" width="11.453125" style="48"/>
  </cols>
  <sheetData>
    <row r="1" spans="2:6" ht="15.5" x14ac:dyDescent="0.25">
      <c r="B1" s="300" t="s">
        <v>60</v>
      </c>
      <c r="C1" s="300"/>
      <c r="D1" s="300"/>
    </row>
    <row r="2" spans="2:6" ht="15.5" x14ac:dyDescent="0.25">
      <c r="B2" s="300">
        <v>2020</v>
      </c>
      <c r="C2" s="300"/>
      <c r="D2" s="300"/>
      <c r="E2" s="65"/>
    </row>
    <row r="3" spans="2:6" ht="15.5" x14ac:dyDescent="0.25">
      <c r="B3" s="66"/>
      <c r="C3" s="66"/>
      <c r="D3" s="66"/>
    </row>
    <row r="4" spans="2:6" ht="31" x14ac:dyDescent="0.25">
      <c r="B4" s="189" t="s">
        <v>156</v>
      </c>
      <c r="C4" s="27" t="s">
        <v>148</v>
      </c>
      <c r="D4" s="5" t="s">
        <v>160</v>
      </c>
      <c r="E4" s="8"/>
    </row>
    <row r="5" spans="2:6" s="67" customFormat="1" ht="24" customHeight="1" x14ac:dyDescent="0.25">
      <c r="B5" s="159" t="s">
        <v>59</v>
      </c>
      <c r="C5" s="26"/>
      <c r="D5" s="26"/>
      <c r="E5" s="25"/>
    </row>
    <row r="6" spans="2:6" ht="24.75" customHeight="1" x14ac:dyDescent="0.25">
      <c r="B6" s="23" t="s">
        <v>139</v>
      </c>
      <c r="C6" s="164" t="s">
        <v>296</v>
      </c>
      <c r="D6" s="22">
        <f>'PPB Breakdwn'!O19</f>
        <v>15000</v>
      </c>
      <c r="E6" s="8"/>
    </row>
    <row r="7" spans="2:6" ht="25" customHeight="1" x14ac:dyDescent="0.25">
      <c r="B7" s="23" t="s">
        <v>74</v>
      </c>
      <c r="C7" s="164" t="s">
        <v>260</v>
      </c>
      <c r="D7" s="22">
        <f>'PPB Breakdwn'!O42+'PPB Breakdwn'!O43</f>
        <v>39000</v>
      </c>
    </row>
    <row r="8" spans="2:6" ht="25" customHeight="1" x14ac:dyDescent="0.25">
      <c r="B8" s="69" t="s">
        <v>157</v>
      </c>
      <c r="C8" s="164" t="s">
        <v>294</v>
      </c>
      <c r="D8" s="22">
        <f>'PPB Breakdwn'!O54+'PPB Breakdwn'!O35+'PPB Breakdwn'!O36+'PPB Breakdwn'!O37</f>
        <v>25500</v>
      </c>
    </row>
    <row r="9" spans="2:6" ht="24.75" customHeight="1" x14ac:dyDescent="0.25">
      <c r="B9" s="160" t="s">
        <v>58</v>
      </c>
      <c r="C9" s="69"/>
      <c r="D9" s="70"/>
    </row>
    <row r="10" spans="2:6" ht="24.75" customHeight="1" x14ac:dyDescent="0.25">
      <c r="B10" s="69" t="s">
        <v>147</v>
      </c>
      <c r="C10" s="164" t="s">
        <v>261</v>
      </c>
      <c r="D10" s="70">
        <f>'PPB Breakdwn'!O50</f>
        <v>260000</v>
      </c>
      <c r="F10" s="68"/>
    </row>
    <row r="11" spans="2:6" ht="35.25" customHeight="1" x14ac:dyDescent="0.25">
      <c r="B11" s="69" t="s">
        <v>143</v>
      </c>
      <c r="C11" s="166" t="s">
        <v>293</v>
      </c>
      <c r="D11" s="70">
        <f>'PPB Breakdwn'!O46+'PPB Breakdwn'!O47+'PPB Breakdwn'!O51+'PPB Breakdwn'!O48</f>
        <v>564000</v>
      </c>
      <c r="F11" s="68"/>
    </row>
    <row r="12" spans="2:6" ht="25" customHeight="1" x14ac:dyDescent="0.25">
      <c r="B12" s="69" t="s">
        <v>140</v>
      </c>
      <c r="C12" s="164" t="s">
        <v>295</v>
      </c>
      <c r="D12" s="70">
        <f>'PPB Breakdwn'!O49+'PPB Breakdwn'!O20</f>
        <v>630000</v>
      </c>
      <c r="F12" s="68"/>
    </row>
    <row r="13" spans="2:6" ht="25" customHeight="1" x14ac:dyDescent="0.25">
      <c r="B13" s="69" t="s">
        <v>144</v>
      </c>
      <c r="C13" s="164" t="s">
        <v>54</v>
      </c>
      <c r="D13" s="70">
        <f>'PPB Breakdwn'!O25</f>
        <v>24060</v>
      </c>
      <c r="F13" s="68"/>
    </row>
    <row r="14" spans="2:6" ht="25" customHeight="1" x14ac:dyDescent="0.25">
      <c r="B14" s="69" t="s">
        <v>145</v>
      </c>
      <c r="C14" s="164" t="s">
        <v>297</v>
      </c>
      <c r="D14" s="70">
        <f>'PPB Breakdwn'!O31</f>
        <v>0</v>
      </c>
      <c r="F14" s="68"/>
    </row>
    <row r="15" spans="2:6" ht="25" customHeight="1" x14ac:dyDescent="0.25">
      <c r="B15" s="69" t="s">
        <v>146</v>
      </c>
      <c r="C15" s="164" t="s">
        <v>54</v>
      </c>
      <c r="D15" s="70">
        <f>'Annex V 2021 RB XB'!I57</f>
        <v>0</v>
      </c>
      <c r="F15" s="68"/>
    </row>
    <row r="16" spans="2:6" ht="25" customHeight="1" x14ac:dyDescent="0.25">
      <c r="B16" s="160" t="s">
        <v>57</v>
      </c>
      <c r="C16" s="69"/>
      <c r="D16" s="70"/>
    </row>
    <row r="17" spans="2:4" ht="25" customHeight="1" x14ac:dyDescent="0.25">
      <c r="B17" s="69" t="s">
        <v>141</v>
      </c>
      <c r="C17" s="164" t="s">
        <v>54</v>
      </c>
      <c r="D17" s="70">
        <f>'Annex V 2021 RB XB'!D49</f>
        <v>56000</v>
      </c>
    </row>
    <row r="18" spans="2:4" ht="25" customHeight="1" x14ac:dyDescent="0.25">
      <c r="B18" s="71" t="s">
        <v>56</v>
      </c>
      <c r="C18" s="164" t="s">
        <v>54</v>
      </c>
      <c r="D18" s="70">
        <f>'Annex V 2021 RB XB'!D50+'PPB Breakdwn'!O59</f>
        <v>80000</v>
      </c>
    </row>
    <row r="19" spans="2:4" ht="25" customHeight="1" x14ac:dyDescent="0.25">
      <c r="B19" s="72" t="s">
        <v>75</v>
      </c>
      <c r="C19" s="73"/>
      <c r="D19" s="74">
        <f>SUM(D5:D18)</f>
        <v>1693560</v>
      </c>
    </row>
    <row r="20" spans="2:4" ht="25" customHeight="1" x14ac:dyDescent="0.25">
      <c r="B20" s="161" t="s">
        <v>76</v>
      </c>
      <c r="C20" s="23"/>
      <c r="D20" s="22"/>
    </row>
    <row r="21" spans="2:4" ht="31.5" customHeight="1" x14ac:dyDescent="0.25">
      <c r="B21" s="75" t="s">
        <v>292</v>
      </c>
      <c r="C21" s="164" t="s">
        <v>149</v>
      </c>
      <c r="D21" s="22">
        <f>'Annex V 2021 RB XB'!H47+'Annex V 2021 RB XB'!H48</f>
        <v>0</v>
      </c>
    </row>
    <row r="22" spans="2:4" ht="25" customHeight="1" x14ac:dyDescent="0.25">
      <c r="B22" s="24" t="s">
        <v>55</v>
      </c>
      <c r="C22" s="164" t="s">
        <v>149</v>
      </c>
      <c r="D22" s="22">
        <f>SUM('Annex V 2021 RB XB'!H15,'Annex V 2021 RB XB'!H16,'Annex V 2021 RB XB'!H20,'Annex V 2021 RB XB'!H22,'Annex V 2021 RB XB'!H23,'Annex V 2021 RB XB'!H24,'Annex V 2021 RB XB'!H25,'Annex V 2021 RB XB'!H26,'Annex V 2021 RB XB'!H27,'Annex V 2021 RB XB'!H35,'Annex V 2021 RB XB'!H41,'Annex V 2021 RB XB'!H42,'Annex V 2021 RB XB'!H44,'Annex V 2021 RB XB'!H46,'Annex V 2021 RB XB'!H51,'Annex V 2021 RB XB'!H53,'Annex V 2021 RB XB'!H56,'Annex V 2021 RB XB'!H58)</f>
        <v>60000</v>
      </c>
    </row>
    <row r="23" spans="2:4" ht="25" customHeight="1" x14ac:dyDescent="0.25">
      <c r="B23" s="162" t="s">
        <v>142</v>
      </c>
      <c r="C23" s="164" t="s">
        <v>149</v>
      </c>
      <c r="D23" s="22">
        <f>'PPB Breakdwn'!O6+'PPB Breakdwn'!O7+'PPB Breakdwn'!O8+'PPB Breakdwn'!O11+'PPB Breakdwn'!O12+'PPB Breakdwn'!O13+'PPB Breakdwn'!O14+'PPB Breakdwn'!O16</f>
        <v>147232</v>
      </c>
    </row>
    <row r="24" spans="2:4" ht="25" customHeight="1" x14ac:dyDescent="0.25">
      <c r="B24" s="72" t="s">
        <v>75</v>
      </c>
      <c r="C24" s="73"/>
      <c r="D24" s="74">
        <f>SUM(D21:D23)</f>
        <v>207232</v>
      </c>
    </row>
    <row r="25" spans="2:4" ht="25" customHeight="1" x14ac:dyDescent="0.25">
      <c r="B25" s="303"/>
      <c r="C25" s="304"/>
      <c r="D25" s="305"/>
    </row>
    <row r="26" spans="2:4" ht="25" customHeight="1" x14ac:dyDescent="0.25">
      <c r="B26" s="301" t="s">
        <v>53</v>
      </c>
      <c r="C26" s="302"/>
      <c r="D26" s="163">
        <f>D19+D24</f>
        <v>1900792</v>
      </c>
    </row>
    <row r="27" spans="2:4" ht="16.5" customHeight="1" x14ac:dyDescent="0.25">
      <c r="B27" s="21"/>
    </row>
    <row r="28" spans="2:4" ht="16.5" customHeight="1" x14ac:dyDescent="0.25">
      <c r="D28" s="68"/>
    </row>
    <row r="29" spans="2:4" ht="19.5" customHeight="1" x14ac:dyDescent="0.25">
      <c r="D29" s="68"/>
    </row>
    <row r="31" spans="2:4" x14ac:dyDescent="0.25">
      <c r="D31" s="68">
        <f>SUM('Annex V 2021 RB XB'!H59:I59)</f>
        <v>1585717.5</v>
      </c>
    </row>
    <row r="33" spans="4:4" x14ac:dyDescent="0.25">
      <c r="D33" s="68">
        <f>D26-D31</f>
        <v>315074.5</v>
      </c>
    </row>
  </sheetData>
  <mergeCells count="4">
    <mergeCell ref="B1:D1"/>
    <mergeCell ref="B2:D2"/>
    <mergeCell ref="B26:C26"/>
    <mergeCell ref="B25:D25"/>
  </mergeCells>
  <printOptions horizontalCentered="1" verticalCentered="1"/>
  <pageMargins left="0.59055118110236227" right="0.59055118110236227" top="0.59055118110236227" bottom="0.59055118110236227" header="0.31496062992125984" footer="0.31496062992125984"/>
  <pageSetup paperSize="9" scale="74"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69"/>
  <sheetViews>
    <sheetView tabSelected="1" view="pageBreakPreview" topLeftCell="D3" zoomScaleSheetLayoutView="100" workbookViewId="0">
      <selection activeCell="K16" sqref="K16"/>
    </sheetView>
  </sheetViews>
  <sheetFormatPr defaultColWidth="11.453125" defaultRowHeight="12.5" x14ac:dyDescent="0.25"/>
  <cols>
    <col min="1" max="1" width="7.453125" customWidth="1"/>
    <col min="2" max="2" width="35.453125" customWidth="1"/>
    <col min="3" max="3" width="14.7265625" customWidth="1"/>
    <col min="4" max="4" width="14.36328125" customWidth="1"/>
    <col min="5" max="5" width="20.6328125" customWidth="1"/>
    <col min="6" max="6" width="17.453125" bestFit="1" customWidth="1"/>
    <col min="7" max="7" width="14.81640625" customWidth="1"/>
    <col min="8" max="8" width="15.90625" customWidth="1"/>
    <col min="9" max="9" width="16" customWidth="1"/>
    <col min="10" max="10" width="31.81640625" customWidth="1"/>
    <col min="11" max="11" width="28.6328125" customWidth="1"/>
    <col min="13" max="13" width="13.36328125" customWidth="1"/>
  </cols>
  <sheetData>
    <row r="2" spans="1:14" ht="22.5" x14ac:dyDescent="0.45">
      <c r="A2" s="306" t="s">
        <v>317</v>
      </c>
      <c r="B2" s="306"/>
      <c r="C2" s="306"/>
      <c r="D2" s="306"/>
      <c r="E2" s="306"/>
      <c r="F2" s="306"/>
      <c r="G2" s="306"/>
      <c r="H2" s="306"/>
      <c r="I2" s="306"/>
    </row>
    <row r="3" spans="1:14" ht="13" thickBot="1" x14ac:dyDescent="0.3"/>
    <row r="4" spans="1:14" ht="14" x14ac:dyDescent="0.25">
      <c r="A4" s="30" t="s">
        <v>2</v>
      </c>
      <c r="B4" s="31" t="s">
        <v>0</v>
      </c>
      <c r="C4" s="31">
        <v>2020</v>
      </c>
      <c r="D4" s="31">
        <v>2021</v>
      </c>
      <c r="E4" s="31">
        <v>2021</v>
      </c>
      <c r="F4" s="31">
        <v>2021</v>
      </c>
      <c r="G4" s="31">
        <v>2021</v>
      </c>
      <c r="H4" s="31">
        <v>2021</v>
      </c>
      <c r="I4" s="31">
        <v>2021</v>
      </c>
    </row>
    <row r="5" spans="1:14" ht="14" x14ac:dyDescent="0.25">
      <c r="A5" s="33" t="s">
        <v>3</v>
      </c>
      <c r="B5" s="34"/>
      <c r="C5" s="32" t="s">
        <v>48</v>
      </c>
      <c r="D5" s="32" t="s">
        <v>48</v>
      </c>
      <c r="E5" s="307" t="s">
        <v>307</v>
      </c>
      <c r="F5" s="35" t="s">
        <v>61</v>
      </c>
      <c r="G5" s="35" t="s">
        <v>62</v>
      </c>
      <c r="H5" s="35" t="s">
        <v>62</v>
      </c>
      <c r="I5" s="35" t="s">
        <v>302</v>
      </c>
    </row>
    <row r="6" spans="1:14" ht="29" customHeight="1" thickBot="1" x14ac:dyDescent="0.3">
      <c r="A6" s="36"/>
      <c r="B6" s="34"/>
      <c r="C6" s="37" t="s">
        <v>63</v>
      </c>
      <c r="D6" s="37" t="s">
        <v>63</v>
      </c>
      <c r="E6" s="308"/>
      <c r="F6" s="37" t="s">
        <v>89</v>
      </c>
      <c r="G6" s="37" t="s">
        <v>300</v>
      </c>
      <c r="H6" s="37" t="s">
        <v>301</v>
      </c>
      <c r="I6" s="37" t="s">
        <v>303</v>
      </c>
    </row>
    <row r="7" spans="1:14" x14ac:dyDescent="0.25">
      <c r="A7" s="50">
        <v>1100</v>
      </c>
      <c r="B7" s="51" t="s">
        <v>4</v>
      </c>
      <c r="C7" s="240">
        <v>1036217</v>
      </c>
      <c r="D7" s="116">
        <f>SUM(E7:I7)</f>
        <v>1036217</v>
      </c>
      <c r="E7" s="236"/>
      <c r="F7" s="246">
        <f>Workings!F41+28742</f>
        <v>772142</v>
      </c>
      <c r="G7" s="235"/>
      <c r="H7" s="249">
        <f>264075</f>
        <v>264075</v>
      </c>
      <c r="I7" s="242"/>
      <c r="J7" s="109" t="s">
        <v>91</v>
      </c>
      <c r="N7" s="49"/>
    </row>
    <row r="8" spans="1:14" x14ac:dyDescent="0.25">
      <c r="A8" s="52">
        <v>1102</v>
      </c>
      <c r="B8" s="53" t="s">
        <v>69</v>
      </c>
      <c r="C8" s="234">
        <v>40000</v>
      </c>
      <c r="D8" s="234">
        <f t="shared" ref="D8:D58" si="0">SUM(E8:I8)</f>
        <v>40000</v>
      </c>
      <c r="E8" s="238"/>
      <c r="F8" s="247">
        <f>Workings!C51</f>
        <v>40000</v>
      </c>
      <c r="G8" s="237"/>
      <c r="H8" s="250"/>
      <c r="I8" s="239"/>
      <c r="J8" s="109" t="s">
        <v>333</v>
      </c>
      <c r="N8" s="49"/>
    </row>
    <row r="9" spans="1:14" x14ac:dyDescent="0.25">
      <c r="A9" s="52">
        <v>1112</v>
      </c>
      <c r="B9" s="53" t="s">
        <v>5</v>
      </c>
      <c r="C9" s="234">
        <v>40000</v>
      </c>
      <c r="D9" s="234">
        <f t="shared" si="0"/>
        <v>40000</v>
      </c>
      <c r="E9" s="238"/>
      <c r="F9" s="247">
        <f>40000</f>
        <v>40000</v>
      </c>
      <c r="G9" s="237"/>
      <c r="H9" s="250"/>
      <c r="I9" s="239"/>
      <c r="J9" s="109" t="s">
        <v>112</v>
      </c>
      <c r="L9" s="49"/>
    </row>
    <row r="10" spans="1:14" x14ac:dyDescent="0.25">
      <c r="A10" s="52">
        <v>1113</v>
      </c>
      <c r="B10" s="53" t="s">
        <v>16</v>
      </c>
      <c r="C10" s="234">
        <v>0</v>
      </c>
      <c r="D10" s="234">
        <f t="shared" si="0"/>
        <v>80000</v>
      </c>
      <c r="E10" s="238"/>
      <c r="F10" s="247"/>
      <c r="G10" s="237"/>
      <c r="H10" s="251"/>
      <c r="I10" s="239">
        <f>50000+30000</f>
        <v>80000</v>
      </c>
      <c r="J10" s="110"/>
      <c r="K10" s="49"/>
    </row>
    <row r="11" spans="1:14" x14ac:dyDescent="0.25">
      <c r="A11" s="52">
        <v>1115</v>
      </c>
      <c r="B11" s="53" t="s">
        <v>35</v>
      </c>
      <c r="C11" s="234">
        <v>120000</v>
      </c>
      <c r="D11" s="234">
        <f t="shared" si="0"/>
        <v>19000</v>
      </c>
      <c r="E11" s="238"/>
      <c r="F11" s="247"/>
      <c r="G11" s="237"/>
      <c r="H11" s="250"/>
      <c r="I11" s="239">
        <f>19000</f>
        <v>19000</v>
      </c>
      <c r="J11" s="110"/>
      <c r="K11" s="49"/>
    </row>
    <row r="12" spans="1:14" x14ac:dyDescent="0.25">
      <c r="A12" s="52">
        <v>1116</v>
      </c>
      <c r="B12" s="53" t="s">
        <v>36</v>
      </c>
      <c r="C12" s="234">
        <v>0</v>
      </c>
      <c r="D12" s="234">
        <f t="shared" si="0"/>
        <v>0</v>
      </c>
      <c r="E12" s="238"/>
      <c r="F12" s="247"/>
      <c r="G12" s="237"/>
      <c r="H12" s="251"/>
      <c r="I12" s="243"/>
      <c r="J12" s="110"/>
      <c r="K12" s="49"/>
    </row>
    <row r="13" spans="1:14" x14ac:dyDescent="0.25">
      <c r="A13" s="52">
        <v>1117</v>
      </c>
      <c r="B13" s="53" t="s">
        <v>108</v>
      </c>
      <c r="C13" s="234">
        <v>21654</v>
      </c>
      <c r="D13" s="234">
        <f t="shared" si="0"/>
        <v>24060</v>
      </c>
      <c r="E13" s="238"/>
      <c r="F13" s="247"/>
      <c r="G13" s="237">
        <f>'PPB Breakdwn'!O25</f>
        <v>24060</v>
      </c>
      <c r="H13" s="250"/>
      <c r="I13" s="243"/>
      <c r="J13" s="110" t="s">
        <v>334</v>
      </c>
      <c r="K13" s="49"/>
      <c r="L13" s="78">
        <f>SUM(D$9,D$28,D$30,D$36,$D$37,D$39)</f>
        <v>850000</v>
      </c>
      <c r="M13" t="s">
        <v>80</v>
      </c>
    </row>
    <row r="14" spans="1:14" x14ac:dyDescent="0.25">
      <c r="A14" s="52">
        <v>1300</v>
      </c>
      <c r="B14" s="53" t="s">
        <v>246</v>
      </c>
      <c r="C14" s="234">
        <v>108000</v>
      </c>
      <c r="D14" s="234">
        <f t="shared" si="0"/>
        <v>108000</v>
      </c>
      <c r="E14" s="238"/>
      <c r="F14" s="247">
        <f>Workings!E44+Workings!E48</f>
        <v>108000</v>
      </c>
      <c r="G14" s="237"/>
      <c r="H14" s="251"/>
      <c r="I14" s="243"/>
      <c r="J14" s="109" t="s">
        <v>115</v>
      </c>
      <c r="L14" s="79">
        <f>D11+D13+D34+D10</f>
        <v>148560</v>
      </c>
      <c r="M14" s="91" t="s">
        <v>81</v>
      </c>
      <c r="N14" s="49"/>
    </row>
    <row r="15" spans="1:14" x14ac:dyDescent="0.25">
      <c r="A15" s="52">
        <v>1301</v>
      </c>
      <c r="B15" s="53" t="s">
        <v>6</v>
      </c>
      <c r="C15" s="234">
        <v>846500</v>
      </c>
      <c r="D15" s="234">
        <f t="shared" si="0"/>
        <v>846500</v>
      </c>
      <c r="E15" s="238"/>
      <c r="F15" s="247">
        <f>'Annex II UN Grant'!E11</f>
        <v>116000</v>
      </c>
      <c r="G15" s="237">
        <f>SUM(Workings!C59:C60,Workings!C64:C67,Workings!C70:C77,Workings!C81:C85,Workings!C88)</f>
        <v>730500</v>
      </c>
      <c r="H15" s="250"/>
      <c r="I15" s="243"/>
      <c r="J15" s="109" t="s">
        <v>107</v>
      </c>
      <c r="L15" s="77">
        <f>SUM(D$49,D$50,D38)</f>
        <v>140000</v>
      </c>
      <c r="M15" s="91" t="s">
        <v>324</v>
      </c>
      <c r="N15" s="49"/>
    </row>
    <row r="16" spans="1:14" x14ac:dyDescent="0.25">
      <c r="A16" s="52">
        <v>1306</v>
      </c>
      <c r="B16" s="53" t="s">
        <v>31</v>
      </c>
      <c r="C16" s="234">
        <v>12000</v>
      </c>
      <c r="D16" s="234">
        <f t="shared" si="0"/>
        <v>12000</v>
      </c>
      <c r="E16" s="238"/>
      <c r="F16" s="247"/>
      <c r="G16" s="237">
        <f>12000</f>
        <v>12000</v>
      </c>
      <c r="H16" s="250"/>
      <c r="I16" s="243"/>
      <c r="J16" s="109" t="s">
        <v>333</v>
      </c>
      <c r="L16" s="80">
        <f>SUM(D$7,D$8,D$14,D$15,D$16,D$18,D$20,$D$21)</f>
        <v>2052717</v>
      </c>
      <c r="M16" t="s">
        <v>82</v>
      </c>
      <c r="N16" s="49"/>
    </row>
    <row r="17" spans="1:15" x14ac:dyDescent="0.25">
      <c r="A17" s="52">
        <v>1307</v>
      </c>
      <c r="B17" s="53" t="s">
        <v>11</v>
      </c>
      <c r="C17" s="234">
        <v>0</v>
      </c>
      <c r="D17" s="234">
        <f t="shared" si="0"/>
        <v>0</v>
      </c>
      <c r="E17" s="238"/>
      <c r="F17" s="247"/>
      <c r="G17" s="237"/>
      <c r="H17" s="251"/>
      <c r="I17" s="243"/>
      <c r="J17" s="109"/>
      <c r="L17" s="176">
        <f>D54+D55</f>
        <v>655500</v>
      </c>
      <c r="M17" s="91" t="s">
        <v>259</v>
      </c>
      <c r="N17" s="49"/>
    </row>
    <row r="18" spans="1:15" x14ac:dyDescent="0.25">
      <c r="A18" s="52">
        <v>1308</v>
      </c>
      <c r="B18" s="53" t="s">
        <v>12</v>
      </c>
      <c r="C18" s="234">
        <v>10000</v>
      </c>
      <c r="D18" s="234">
        <f t="shared" si="0"/>
        <v>10000</v>
      </c>
      <c r="E18" s="238"/>
      <c r="F18" s="247">
        <f>Workings!E46</f>
        <v>10000</v>
      </c>
      <c r="G18" s="237"/>
      <c r="H18" s="252"/>
      <c r="I18" s="243"/>
      <c r="J18" s="109" t="s">
        <v>255</v>
      </c>
      <c r="L18" s="165">
        <f>$D$59-SUM(L13:L17)-D57</f>
        <v>533223</v>
      </c>
      <c r="M18" t="s">
        <v>83</v>
      </c>
      <c r="N18" s="49"/>
    </row>
    <row r="19" spans="1:15" x14ac:dyDescent="0.25">
      <c r="A19" s="52">
        <v>1360</v>
      </c>
      <c r="B19" s="53" t="s">
        <v>38</v>
      </c>
      <c r="C19" s="234">
        <v>0</v>
      </c>
      <c r="D19" s="234">
        <f t="shared" si="0"/>
        <v>0</v>
      </c>
      <c r="E19" s="238"/>
      <c r="F19" s="247"/>
      <c r="G19" s="237"/>
      <c r="H19" s="251"/>
      <c r="I19" s="243"/>
      <c r="J19" s="109"/>
      <c r="L19" s="112">
        <f>D57</f>
        <v>35000</v>
      </c>
      <c r="M19" s="91" t="s">
        <v>323</v>
      </c>
      <c r="N19" s="49"/>
    </row>
    <row r="20" spans="1:15" x14ac:dyDescent="0.25">
      <c r="A20" s="52">
        <v>1361</v>
      </c>
      <c r="B20" s="53" t="s">
        <v>39</v>
      </c>
      <c r="C20" s="234">
        <v>0</v>
      </c>
      <c r="D20" s="234">
        <f t="shared" si="0"/>
        <v>0</v>
      </c>
      <c r="E20" s="238"/>
      <c r="F20" s="247"/>
      <c r="G20" s="237"/>
      <c r="H20" s="251"/>
      <c r="I20" s="243"/>
      <c r="J20" s="109"/>
      <c r="K20" s="91"/>
      <c r="N20" s="49"/>
    </row>
    <row r="21" spans="1:15" x14ac:dyDescent="0.25">
      <c r="A21" s="52">
        <v>1363</v>
      </c>
      <c r="B21" s="53" t="s">
        <v>13</v>
      </c>
      <c r="C21" s="234">
        <v>0</v>
      </c>
      <c r="D21" s="234">
        <f t="shared" si="0"/>
        <v>0</v>
      </c>
      <c r="E21" s="238"/>
      <c r="F21" s="247"/>
      <c r="G21" s="237"/>
      <c r="H21" s="251"/>
      <c r="I21" s="243"/>
      <c r="J21" s="109"/>
      <c r="N21" s="49"/>
    </row>
    <row r="22" spans="1:15" x14ac:dyDescent="0.25">
      <c r="A22" s="52">
        <v>1401</v>
      </c>
      <c r="B22" s="53" t="s">
        <v>19</v>
      </c>
      <c r="C22" s="234">
        <v>18000</v>
      </c>
      <c r="D22" s="234">
        <f t="shared" si="0"/>
        <v>18000</v>
      </c>
      <c r="E22" s="238"/>
      <c r="F22" s="247"/>
      <c r="G22" s="237">
        <f>ROUNDUP((Workings!Q19*12),-3)</f>
        <v>18000</v>
      </c>
      <c r="H22" s="250"/>
      <c r="I22" s="243"/>
      <c r="J22" s="109" t="s">
        <v>258</v>
      </c>
      <c r="K22" s="49"/>
      <c r="O22" s="49"/>
    </row>
    <row r="23" spans="1:15" x14ac:dyDescent="0.25">
      <c r="A23" s="52">
        <v>1402</v>
      </c>
      <c r="B23" s="53" t="s">
        <v>20</v>
      </c>
      <c r="C23" s="234">
        <v>11000</v>
      </c>
      <c r="D23" s="234">
        <f t="shared" si="0"/>
        <v>11000</v>
      </c>
      <c r="E23" s="238"/>
      <c r="F23" s="247"/>
      <c r="G23" s="237">
        <f>ROUNDUP(Workings!$Q$11*12,-3)</f>
        <v>11000</v>
      </c>
      <c r="H23" s="250"/>
      <c r="I23" s="243"/>
      <c r="J23" s="109" t="s">
        <v>109</v>
      </c>
      <c r="K23" s="49"/>
      <c r="O23" s="49"/>
    </row>
    <row r="24" spans="1:15" x14ac:dyDescent="0.25">
      <c r="A24" s="52">
        <v>1403</v>
      </c>
      <c r="B24" s="53" t="s">
        <v>21</v>
      </c>
      <c r="C24" s="234">
        <v>31000</v>
      </c>
      <c r="D24" s="234">
        <f t="shared" si="0"/>
        <v>31000</v>
      </c>
      <c r="E24" s="238"/>
      <c r="F24" s="247"/>
      <c r="G24" s="237">
        <f>ROUNDUP(Workings!$Q$15*12,-3)</f>
        <v>31000</v>
      </c>
      <c r="H24" s="250"/>
      <c r="I24" s="243"/>
      <c r="J24" s="109" t="s">
        <v>109</v>
      </c>
      <c r="O24" s="49"/>
    </row>
    <row r="25" spans="1:15" x14ac:dyDescent="0.25">
      <c r="A25" s="52">
        <v>1404</v>
      </c>
      <c r="B25" s="53" t="s">
        <v>22</v>
      </c>
      <c r="C25" s="234">
        <v>33000</v>
      </c>
      <c r="D25" s="234">
        <f t="shared" si="0"/>
        <v>33000</v>
      </c>
      <c r="E25" s="238"/>
      <c r="F25" s="247"/>
      <c r="G25" s="237">
        <f>ROUNDUP(Workings!$Q$3*12,-3)</f>
        <v>33000</v>
      </c>
      <c r="H25" s="250"/>
      <c r="I25" s="243"/>
      <c r="J25" s="109" t="s">
        <v>110</v>
      </c>
      <c r="O25" s="49"/>
    </row>
    <row r="26" spans="1:15" x14ac:dyDescent="0.25">
      <c r="A26" s="52">
        <v>1405</v>
      </c>
      <c r="B26" s="53" t="s">
        <v>23</v>
      </c>
      <c r="C26" s="234">
        <v>6000</v>
      </c>
      <c r="D26" s="234">
        <f t="shared" si="0"/>
        <v>6000</v>
      </c>
      <c r="E26" s="238"/>
      <c r="F26" s="247"/>
      <c r="G26" s="237">
        <f>ROUNDUP(Workings!$Q$7*12,-3)</f>
        <v>6000</v>
      </c>
      <c r="H26" s="250"/>
      <c r="I26" s="243"/>
      <c r="J26" s="109" t="s">
        <v>111</v>
      </c>
      <c r="O26" s="49"/>
    </row>
    <row r="27" spans="1:15" x14ac:dyDescent="0.25">
      <c r="A27" s="52">
        <v>1501</v>
      </c>
      <c r="B27" s="53" t="s">
        <v>14</v>
      </c>
      <c r="C27" s="234">
        <v>100000</v>
      </c>
      <c r="D27" s="234">
        <f t="shared" si="0"/>
        <v>50000</v>
      </c>
      <c r="E27" s="238"/>
      <c r="F27" s="247"/>
      <c r="G27" s="237">
        <f>50000</f>
        <v>50000</v>
      </c>
      <c r="H27" s="250"/>
      <c r="I27" s="243"/>
      <c r="J27" s="150" t="s">
        <v>110</v>
      </c>
      <c r="O27" s="49"/>
    </row>
    <row r="28" spans="1:15" x14ac:dyDescent="0.25">
      <c r="A28" s="52">
        <v>1600</v>
      </c>
      <c r="B28" s="53" t="s">
        <v>15</v>
      </c>
      <c r="C28" s="234">
        <v>0</v>
      </c>
      <c r="D28" s="234">
        <f t="shared" si="0"/>
        <v>0</v>
      </c>
      <c r="E28" s="238"/>
      <c r="F28" s="247"/>
      <c r="G28" s="237"/>
      <c r="H28" s="251"/>
      <c r="I28" s="243"/>
      <c r="J28" s="110"/>
      <c r="K28" s="49"/>
    </row>
    <row r="29" spans="1:15" x14ac:dyDescent="0.25">
      <c r="A29" s="52">
        <v>1601</v>
      </c>
      <c r="B29" s="53" t="s">
        <v>90</v>
      </c>
      <c r="C29" s="234">
        <v>207232</v>
      </c>
      <c r="D29" s="234">
        <f t="shared" si="0"/>
        <v>207223</v>
      </c>
      <c r="E29" s="238"/>
      <c r="F29" s="247">
        <f>'PPB Breakdwn'!N6</f>
        <v>60000</v>
      </c>
      <c r="G29" s="237">
        <f>'PPB Breakdwn'!$O$6+'PPB Breakdwn'!$O$7+'PPB Breakdwn'!$O$8+'PPB Breakdwn'!$O$11+'PPB Breakdwn'!$O$12+'PPB Breakdwn'!$O$13+'PPB Breakdwn'!$O$14+'PPB Breakdwn'!$O$16-9</f>
        <v>147223</v>
      </c>
      <c r="H29" s="250"/>
      <c r="I29" s="243"/>
      <c r="J29" s="109" t="s">
        <v>114</v>
      </c>
      <c r="O29" s="49"/>
    </row>
    <row r="30" spans="1:15" x14ac:dyDescent="0.25">
      <c r="A30" s="52">
        <v>1602</v>
      </c>
      <c r="B30" s="53" t="s">
        <v>17</v>
      </c>
      <c r="C30" s="234">
        <v>10000</v>
      </c>
      <c r="D30" s="234">
        <f t="shared" si="0"/>
        <v>10000</v>
      </c>
      <c r="E30" s="238"/>
      <c r="F30" s="247">
        <f>10000</f>
        <v>10000</v>
      </c>
      <c r="G30" s="237"/>
      <c r="H30" s="251"/>
      <c r="I30" s="243"/>
      <c r="J30" s="109" t="s">
        <v>135</v>
      </c>
    </row>
    <row r="31" spans="1:15" x14ac:dyDescent="0.25">
      <c r="A31" s="52">
        <v>2001</v>
      </c>
      <c r="B31" s="53" t="s">
        <v>32</v>
      </c>
      <c r="C31" s="234">
        <v>0</v>
      </c>
      <c r="D31" s="234">
        <f t="shared" si="0"/>
        <v>0</v>
      </c>
      <c r="E31" s="238"/>
      <c r="F31" s="247"/>
      <c r="G31" s="237"/>
      <c r="H31" s="251"/>
      <c r="I31" s="243"/>
      <c r="J31" s="109"/>
      <c r="L31" s="49"/>
    </row>
    <row r="32" spans="1:15" x14ac:dyDescent="0.25">
      <c r="A32" s="52">
        <v>2020</v>
      </c>
      <c r="B32" s="53" t="s">
        <v>18</v>
      </c>
      <c r="C32" s="234">
        <v>0</v>
      </c>
      <c r="D32" s="234">
        <f t="shared" si="0"/>
        <v>0</v>
      </c>
      <c r="E32" s="238"/>
      <c r="F32" s="247"/>
      <c r="G32" s="237"/>
      <c r="H32" s="251"/>
      <c r="I32" s="243"/>
      <c r="J32" s="109"/>
      <c r="K32" s="49"/>
      <c r="L32" s="49"/>
    </row>
    <row r="33" spans="1:15" x14ac:dyDescent="0.25">
      <c r="A33" s="52">
        <v>2040</v>
      </c>
      <c r="B33" s="53" t="s">
        <v>41</v>
      </c>
      <c r="C33" s="234">
        <v>0</v>
      </c>
      <c r="D33" s="234">
        <f t="shared" si="0"/>
        <v>0</v>
      </c>
      <c r="E33" s="238"/>
      <c r="F33" s="247"/>
      <c r="G33" s="237"/>
      <c r="H33" s="251"/>
      <c r="I33" s="243"/>
      <c r="J33" s="109"/>
      <c r="L33" s="49"/>
    </row>
    <row r="34" spans="1:15" x14ac:dyDescent="0.25">
      <c r="A34" s="52">
        <v>3100</v>
      </c>
      <c r="B34" s="53" t="s">
        <v>322</v>
      </c>
      <c r="C34" s="234">
        <v>51500</v>
      </c>
      <c r="D34" s="234">
        <f t="shared" si="0"/>
        <v>25500</v>
      </c>
      <c r="E34" s="238"/>
      <c r="F34" s="247"/>
      <c r="G34" s="237"/>
      <c r="H34" s="250">
        <f>'PPB Breakdwn'!$O$54+'PPB Breakdwn'!$O$35+'PPB Breakdwn'!$O$36+'PPB Breakdwn'!$O$37</f>
        <v>25500</v>
      </c>
      <c r="I34" s="239"/>
      <c r="J34" s="110" t="s">
        <v>250</v>
      </c>
      <c r="L34" s="49"/>
    </row>
    <row r="35" spans="1:15" x14ac:dyDescent="0.25">
      <c r="A35" s="52">
        <v>3200</v>
      </c>
      <c r="B35" s="53" t="s">
        <v>7</v>
      </c>
      <c r="C35" s="234">
        <v>60000</v>
      </c>
      <c r="D35" s="234">
        <f t="shared" si="0"/>
        <v>60000</v>
      </c>
      <c r="E35" s="238"/>
      <c r="F35" s="247"/>
      <c r="G35" s="237"/>
      <c r="H35" s="250">
        <f>60000</f>
        <v>60000</v>
      </c>
      <c r="I35" s="243"/>
      <c r="J35" s="109" t="s">
        <v>116</v>
      </c>
      <c r="O35" s="49"/>
    </row>
    <row r="36" spans="1:15" ht="30" customHeight="1" x14ac:dyDescent="0.25">
      <c r="A36" s="52">
        <v>3201</v>
      </c>
      <c r="B36" s="62" t="s">
        <v>71</v>
      </c>
      <c r="C36" s="341">
        <v>1751000</v>
      </c>
      <c r="D36" s="341">
        <f t="shared" si="0"/>
        <v>540000</v>
      </c>
      <c r="E36" s="238"/>
      <c r="F36" s="338">
        <f>'Annex II UN Grant'!E13</f>
        <v>143857.5</v>
      </c>
      <c r="G36" s="339"/>
      <c r="H36" s="340">
        <f>'PPB Breakdwn'!O46+'PPB Breakdwn'!O47+'PPB Breakdwn'!O48-F36</f>
        <v>396142.5</v>
      </c>
      <c r="I36" s="239"/>
      <c r="J36" s="109" t="s">
        <v>332</v>
      </c>
      <c r="K36" s="49"/>
    </row>
    <row r="37" spans="1:15" ht="15" customHeight="1" x14ac:dyDescent="0.25">
      <c r="A37" s="52">
        <v>3205</v>
      </c>
      <c r="B37" s="53" t="s">
        <v>29</v>
      </c>
      <c r="C37" s="234">
        <v>0</v>
      </c>
      <c r="D37" s="234">
        <f t="shared" si="0"/>
        <v>0</v>
      </c>
      <c r="E37" s="238"/>
      <c r="F37" s="247"/>
      <c r="G37" s="237"/>
      <c r="H37" s="251"/>
      <c r="I37" s="243"/>
      <c r="J37" s="109"/>
      <c r="L37" s="49"/>
      <c r="O37" s="49"/>
    </row>
    <row r="38" spans="1:15" ht="23" x14ac:dyDescent="0.25">
      <c r="A38" s="52">
        <v>3206</v>
      </c>
      <c r="B38" s="62" t="s">
        <v>72</v>
      </c>
      <c r="C38" s="234">
        <v>93600</v>
      </c>
      <c r="D38" s="234">
        <f t="shared" si="0"/>
        <v>39000</v>
      </c>
      <c r="E38" s="238"/>
      <c r="F38" s="247"/>
      <c r="G38" s="237">
        <f>('PPB Breakdwn'!$O$42+'PPB Breakdwn'!$O$43)/2</f>
        <v>19500</v>
      </c>
      <c r="H38" s="250">
        <f>('PPB Breakdwn'!$O$42+'PPB Breakdwn'!$O$43)/2</f>
        <v>19500</v>
      </c>
      <c r="I38" s="243"/>
      <c r="J38" s="109" t="s">
        <v>133</v>
      </c>
    </row>
    <row r="39" spans="1:15" x14ac:dyDescent="0.25">
      <c r="A39" s="52">
        <v>3211</v>
      </c>
      <c r="B39" s="53" t="s">
        <v>73</v>
      </c>
      <c r="C39" s="234">
        <v>260000</v>
      </c>
      <c r="D39" s="234">
        <f t="shared" si="0"/>
        <v>260000</v>
      </c>
      <c r="E39" s="238">
        <f>'PPB Breakdwn'!$O$50-$G$39</f>
        <v>131128</v>
      </c>
      <c r="F39" s="247"/>
      <c r="G39" s="237">
        <f>128872</f>
        <v>128872</v>
      </c>
      <c r="H39" s="251"/>
      <c r="I39" s="239"/>
      <c r="J39" s="109" t="s">
        <v>251</v>
      </c>
      <c r="K39" s="49"/>
      <c r="M39" s="49"/>
    </row>
    <row r="40" spans="1:15" ht="12.75" customHeight="1" x14ac:dyDescent="0.25">
      <c r="A40" s="52">
        <v>4001</v>
      </c>
      <c r="B40" s="53" t="s">
        <v>33</v>
      </c>
      <c r="C40" s="234">
        <v>0</v>
      </c>
      <c r="D40" s="234">
        <f t="shared" si="0"/>
        <v>0</v>
      </c>
      <c r="E40" s="238"/>
      <c r="F40" s="247"/>
      <c r="G40" s="237"/>
      <c r="H40" s="251"/>
      <c r="I40" s="243"/>
      <c r="J40" s="109"/>
      <c r="L40" s="49"/>
      <c r="O40" s="49"/>
    </row>
    <row r="41" spans="1:15" ht="12.75" customHeight="1" x14ac:dyDescent="0.25">
      <c r="A41" s="52">
        <v>4002</v>
      </c>
      <c r="B41" s="53" t="s">
        <v>47</v>
      </c>
      <c r="C41" s="234">
        <v>6000</v>
      </c>
      <c r="D41" s="234">
        <f t="shared" si="0"/>
        <v>6000</v>
      </c>
      <c r="E41" s="238"/>
      <c r="F41" s="247"/>
      <c r="G41" s="237">
        <f>6000</f>
        <v>6000</v>
      </c>
      <c r="H41" s="250"/>
      <c r="I41" s="243"/>
      <c r="J41" s="109" t="s">
        <v>137</v>
      </c>
      <c r="O41" s="49"/>
    </row>
    <row r="42" spans="1:15" ht="13.5" customHeight="1" x14ac:dyDescent="0.25">
      <c r="A42" s="52">
        <v>4003</v>
      </c>
      <c r="B42" s="53" t="s">
        <v>42</v>
      </c>
      <c r="C42" s="234">
        <v>10000</v>
      </c>
      <c r="D42" s="234">
        <f t="shared" si="0"/>
        <v>20000</v>
      </c>
      <c r="E42" s="238"/>
      <c r="F42" s="247"/>
      <c r="G42" s="237"/>
      <c r="H42" s="250"/>
      <c r="I42" s="239">
        <f>20000</f>
        <v>20000</v>
      </c>
      <c r="J42" s="109" t="s">
        <v>138</v>
      </c>
      <c r="O42" s="49"/>
    </row>
    <row r="43" spans="1:15" x14ac:dyDescent="0.25">
      <c r="A43" s="52">
        <v>4004</v>
      </c>
      <c r="B43" s="53" t="s">
        <v>26</v>
      </c>
      <c r="C43" s="234">
        <v>0</v>
      </c>
      <c r="D43" s="234">
        <f t="shared" si="0"/>
        <v>0</v>
      </c>
      <c r="E43" s="238"/>
      <c r="F43" s="247"/>
      <c r="G43" s="237"/>
      <c r="H43" s="251"/>
      <c r="I43" s="239"/>
      <c r="J43" s="109"/>
      <c r="O43" s="49"/>
    </row>
    <row r="44" spans="1:15" x14ac:dyDescent="0.25">
      <c r="A44" s="52">
        <v>4030</v>
      </c>
      <c r="B44" s="53" t="s">
        <v>25</v>
      </c>
      <c r="C44" s="234">
        <v>2000</v>
      </c>
      <c r="D44" s="234">
        <f t="shared" si="0"/>
        <v>2000</v>
      </c>
      <c r="E44" s="238"/>
      <c r="F44" s="247"/>
      <c r="G44" s="237"/>
      <c r="H44" s="250"/>
      <c r="I44" s="239">
        <f>2000</f>
        <v>2000</v>
      </c>
      <c r="J44" s="109" t="s">
        <v>254</v>
      </c>
      <c r="O44" s="49"/>
    </row>
    <row r="45" spans="1:15" x14ac:dyDescent="0.25">
      <c r="A45" s="52">
        <v>4035</v>
      </c>
      <c r="B45" s="53" t="s">
        <v>43</v>
      </c>
      <c r="C45" s="234">
        <v>0</v>
      </c>
      <c r="D45" s="234">
        <f t="shared" si="0"/>
        <v>0</v>
      </c>
      <c r="E45" s="238"/>
      <c r="F45" s="247"/>
      <c r="G45" s="237"/>
      <c r="H45" s="251"/>
      <c r="I45" s="239"/>
      <c r="J45" s="109"/>
      <c r="O45" s="49"/>
    </row>
    <row r="46" spans="1:15" x14ac:dyDescent="0.25">
      <c r="A46" s="52">
        <v>4100</v>
      </c>
      <c r="B46" s="53" t="s">
        <v>28</v>
      </c>
      <c r="C46" s="234">
        <v>9000</v>
      </c>
      <c r="D46" s="234">
        <f t="shared" si="0"/>
        <v>9000</v>
      </c>
      <c r="E46" s="238"/>
      <c r="F46" s="247"/>
      <c r="G46" s="237"/>
      <c r="H46" s="250"/>
      <c r="I46" s="239">
        <f>9000</f>
        <v>9000</v>
      </c>
      <c r="J46" s="109" t="s">
        <v>253</v>
      </c>
      <c r="O46" s="49"/>
    </row>
    <row r="47" spans="1:15" x14ac:dyDescent="0.25">
      <c r="A47" s="52">
        <v>4200</v>
      </c>
      <c r="B47" s="53" t="s">
        <v>30</v>
      </c>
      <c r="C47" s="234">
        <v>50000</v>
      </c>
      <c r="D47" s="234">
        <f t="shared" si="0"/>
        <v>30000</v>
      </c>
      <c r="E47" s="238">
        <f>30000</f>
        <v>30000</v>
      </c>
      <c r="F47" s="247"/>
      <c r="G47" s="237"/>
      <c r="H47" s="250"/>
      <c r="I47" s="243"/>
      <c r="J47" s="115" t="s">
        <v>308</v>
      </c>
      <c r="K47" s="151"/>
      <c r="O47" s="49"/>
    </row>
    <row r="48" spans="1:15" x14ac:dyDescent="0.25">
      <c r="A48" s="52">
        <v>4300</v>
      </c>
      <c r="B48" s="53" t="s">
        <v>8</v>
      </c>
      <c r="C48" s="234">
        <v>40000</v>
      </c>
      <c r="D48" s="234">
        <f>30000</f>
        <v>30000</v>
      </c>
      <c r="E48" s="238">
        <f>30000</f>
        <v>30000</v>
      </c>
      <c r="F48" s="247"/>
      <c r="G48" s="237"/>
      <c r="H48" s="250"/>
      <c r="I48" s="243"/>
      <c r="J48" s="109" t="s">
        <v>262</v>
      </c>
      <c r="O48" s="49"/>
    </row>
    <row r="49" spans="1:15" x14ac:dyDescent="0.25">
      <c r="A49" s="52">
        <v>4400</v>
      </c>
      <c r="B49" s="53" t="s">
        <v>141</v>
      </c>
      <c r="C49" s="234">
        <v>56000</v>
      </c>
      <c r="D49" s="234">
        <f t="shared" si="0"/>
        <v>56000</v>
      </c>
      <c r="E49" s="238"/>
      <c r="F49" s="247"/>
      <c r="G49" s="237">
        <f>ROUNDUP((Workings!$Q$22+Workings!$Q$23)*12,-3)</f>
        <v>56000</v>
      </c>
      <c r="H49" s="250"/>
      <c r="I49" s="243"/>
      <c r="J49" s="109" t="s">
        <v>256</v>
      </c>
      <c r="O49" s="49"/>
    </row>
    <row r="50" spans="1:15" x14ac:dyDescent="0.25">
      <c r="A50" s="52">
        <v>4410</v>
      </c>
      <c r="B50" s="53" t="s">
        <v>64</v>
      </c>
      <c r="C50" s="234">
        <v>75000</v>
      </c>
      <c r="D50" s="234">
        <f t="shared" si="0"/>
        <v>45000</v>
      </c>
      <c r="E50" s="238"/>
      <c r="F50" s="247"/>
      <c r="G50" s="237">
        <f>'PPB Breakdwn'!$O$28</f>
        <v>45000</v>
      </c>
      <c r="H50" s="250"/>
      <c r="I50" s="243"/>
      <c r="J50" s="109" t="s">
        <v>136</v>
      </c>
      <c r="O50" s="49"/>
    </row>
    <row r="51" spans="1:15" x14ac:dyDescent="0.25">
      <c r="A51" s="52">
        <v>4500</v>
      </c>
      <c r="B51" s="53" t="s">
        <v>34</v>
      </c>
      <c r="C51" s="234">
        <v>5000</v>
      </c>
      <c r="D51" s="234">
        <f t="shared" si="0"/>
        <v>5000</v>
      </c>
      <c r="E51" s="238"/>
      <c r="F51" s="247"/>
      <c r="G51" s="237">
        <f>5000</f>
        <v>5000</v>
      </c>
      <c r="H51" s="250"/>
      <c r="I51" s="243"/>
      <c r="J51" s="109" t="s">
        <v>118</v>
      </c>
      <c r="M51" s="49"/>
      <c r="O51" s="49"/>
    </row>
    <row r="52" spans="1:15" x14ac:dyDescent="0.25">
      <c r="A52" s="52">
        <v>4600</v>
      </c>
      <c r="B52" s="53" t="s">
        <v>10</v>
      </c>
      <c r="C52" s="234">
        <v>0</v>
      </c>
      <c r="D52" s="234">
        <f t="shared" si="0"/>
        <v>0</v>
      </c>
      <c r="E52" s="238"/>
      <c r="F52" s="247"/>
      <c r="G52" s="237"/>
      <c r="H52" s="251"/>
      <c r="I52" s="243"/>
      <c r="J52" s="109"/>
      <c r="O52" s="49"/>
    </row>
    <row r="53" spans="1:15" x14ac:dyDescent="0.25">
      <c r="A53" s="52">
        <v>5010</v>
      </c>
      <c r="B53" s="53" t="s">
        <v>24</v>
      </c>
      <c r="C53" s="234">
        <v>0</v>
      </c>
      <c r="D53" s="234">
        <f>10000</f>
        <v>10000</v>
      </c>
      <c r="E53" s="238">
        <f>10000</f>
        <v>10000</v>
      </c>
      <c r="F53" s="247"/>
      <c r="G53" s="237"/>
      <c r="H53" s="250"/>
      <c r="I53" s="243"/>
      <c r="J53" s="109" t="s">
        <v>118</v>
      </c>
      <c r="O53" s="49"/>
    </row>
    <row r="54" spans="1:15" ht="23" x14ac:dyDescent="0.25">
      <c r="A54" s="52">
        <v>5040</v>
      </c>
      <c r="B54" s="62" t="s">
        <v>117</v>
      </c>
      <c r="C54" s="234">
        <v>470000</v>
      </c>
      <c r="D54" s="234">
        <f t="shared" si="0"/>
        <v>630000</v>
      </c>
      <c r="E54" s="238"/>
      <c r="F54" s="247"/>
      <c r="G54" s="237"/>
      <c r="H54" s="250">
        <f>'PPB Breakdwn'!O49+'PPB Breakdwn'!O20-I54</f>
        <v>595000</v>
      </c>
      <c r="I54" s="239">
        <f>18000+17000</f>
        <v>35000</v>
      </c>
      <c r="J54" s="114" t="s">
        <v>257</v>
      </c>
      <c r="O54" s="49"/>
    </row>
    <row r="55" spans="1:15" x14ac:dyDescent="0.25">
      <c r="A55" s="52">
        <v>5200</v>
      </c>
      <c r="B55" s="53" t="s">
        <v>44</v>
      </c>
      <c r="C55" s="234">
        <v>20000</v>
      </c>
      <c r="D55" s="234">
        <f t="shared" si="0"/>
        <v>25500</v>
      </c>
      <c r="E55" s="238"/>
      <c r="F55" s="247"/>
      <c r="G55" s="237"/>
      <c r="H55" s="250"/>
      <c r="I55" s="239">
        <f>25500</f>
        <v>25500</v>
      </c>
      <c r="J55" s="109" t="s">
        <v>134</v>
      </c>
      <c r="O55" s="49"/>
    </row>
    <row r="56" spans="1:15" x14ac:dyDescent="0.25">
      <c r="A56" s="52">
        <v>5300</v>
      </c>
      <c r="B56" s="53" t="s">
        <v>27</v>
      </c>
      <c r="C56" s="234">
        <v>5000</v>
      </c>
      <c r="D56" s="234">
        <f t="shared" si="0"/>
        <v>5000</v>
      </c>
      <c r="E56" s="238">
        <f>5000</f>
        <v>5000</v>
      </c>
      <c r="F56" s="247"/>
      <c r="G56" s="237"/>
      <c r="H56" s="250"/>
      <c r="I56" s="243"/>
      <c r="J56" s="109" t="s">
        <v>113</v>
      </c>
      <c r="O56" s="49"/>
    </row>
    <row r="57" spans="1:15" x14ac:dyDescent="0.25">
      <c r="A57" s="52">
        <v>5350</v>
      </c>
      <c r="B57" s="57" t="s">
        <v>146</v>
      </c>
      <c r="C57" s="234">
        <v>35000</v>
      </c>
      <c r="D57" s="234">
        <f t="shared" si="0"/>
        <v>35000</v>
      </c>
      <c r="E57" s="245"/>
      <c r="F57" s="248"/>
      <c r="G57" s="244"/>
      <c r="H57" s="253">
        <f>35000</f>
        <v>35000</v>
      </c>
      <c r="I57" s="239"/>
      <c r="J57" s="109" t="s">
        <v>252</v>
      </c>
      <c r="O57" s="49"/>
    </row>
    <row r="58" spans="1:15" x14ac:dyDescent="0.25">
      <c r="A58" s="52">
        <v>5400</v>
      </c>
      <c r="B58" s="57" t="s">
        <v>45</v>
      </c>
      <c r="C58" s="234">
        <v>0</v>
      </c>
      <c r="D58" s="234">
        <f t="shared" si="0"/>
        <v>0</v>
      </c>
      <c r="E58" s="245"/>
      <c r="F58" s="248"/>
      <c r="G58" s="244"/>
      <c r="H58" s="253"/>
      <c r="I58" s="243"/>
      <c r="J58" s="109"/>
      <c r="O58" s="49"/>
    </row>
    <row r="59" spans="1:15" ht="15.5" thickBot="1" x14ac:dyDescent="0.3">
      <c r="A59" s="58"/>
      <c r="B59" s="59" t="s">
        <v>46</v>
      </c>
      <c r="C59" s="241">
        <f t="shared" ref="C59:I59" si="1">SUM(C7:C58)</f>
        <v>5649703</v>
      </c>
      <c r="D59" s="108">
        <f>SUM(D7:D58)</f>
        <v>4415000</v>
      </c>
      <c r="E59" s="241">
        <f t="shared" si="1"/>
        <v>206128</v>
      </c>
      <c r="F59" s="241">
        <f t="shared" si="1"/>
        <v>1299999.5</v>
      </c>
      <c r="G59" s="241">
        <f t="shared" si="1"/>
        <v>1323155</v>
      </c>
      <c r="H59" s="241">
        <f t="shared" si="1"/>
        <v>1395217.5</v>
      </c>
      <c r="I59" s="241">
        <f t="shared" si="1"/>
        <v>190500</v>
      </c>
    </row>
    <row r="61" spans="1:15" x14ac:dyDescent="0.25">
      <c r="J61" s="76"/>
      <c r="K61" s="76"/>
      <c r="N61" s="76"/>
      <c r="O61" s="76"/>
    </row>
    <row r="62" spans="1:15" ht="13" x14ac:dyDescent="0.3">
      <c r="C62" s="28" t="s">
        <v>158</v>
      </c>
      <c r="D62" s="194">
        <f t="shared" ref="D62:G62" si="2">SUM(D58,D56,D53,D51,D50,D49,D48,D47,D46,D44,D42,D41,D35,D27,D26,D25,D24,D23,D22,D16,D20)</f>
        <v>439000</v>
      </c>
      <c r="E62" s="194">
        <f t="shared" si="2"/>
        <v>75000</v>
      </c>
      <c r="F62" s="194">
        <f t="shared" si="2"/>
        <v>0</v>
      </c>
      <c r="G62" s="194">
        <f t="shared" si="2"/>
        <v>273000</v>
      </c>
      <c r="H62" s="194">
        <f>SUM(H58,H56,H53,H51,H50,H49,H48,H47,H46,H44,H42,H41,H35,H27,H26,H25,H24,H23,H22,H16,H20)</f>
        <v>60000</v>
      </c>
      <c r="I62" s="194">
        <f>SUM(I58,I56,I53,I51,I50,I49,I48,I47,I46,I44,I42,I41,I35,I27,I26,I25,I24,I23,I22,I16,I20)</f>
        <v>31000</v>
      </c>
      <c r="L62" s="76"/>
      <c r="M62" s="76"/>
    </row>
    <row r="63" spans="1:15" x14ac:dyDescent="0.25">
      <c r="G63" s="112"/>
    </row>
    <row r="66" spans="4:9" x14ac:dyDescent="0.25">
      <c r="D66" s="112"/>
    </row>
    <row r="69" spans="4:9" x14ac:dyDescent="0.25">
      <c r="I69" s="112">
        <f>(H59+I59)</f>
        <v>1585717.5</v>
      </c>
    </row>
  </sheetData>
  <mergeCells count="2">
    <mergeCell ref="A2:I2"/>
    <mergeCell ref="E5:E6"/>
  </mergeCells>
  <pageMargins left="0.33" right="0.31" top="0.5" bottom="0.25" header="0.5" footer="0.5"/>
  <pageSetup scale="65"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66"/>
  <sheetViews>
    <sheetView workbookViewId="0">
      <pane xSplit="11" ySplit="4" topLeftCell="M44" activePane="bottomRight" state="frozen"/>
      <selection pane="topRight" activeCell="L1" sqref="L1"/>
      <selection pane="bottomLeft" activeCell="A5" sqref="A5"/>
      <selection pane="bottomRight" activeCell="O46" sqref="O46:O47"/>
    </sheetView>
  </sheetViews>
  <sheetFormatPr defaultColWidth="8.81640625" defaultRowHeight="12.5" x14ac:dyDescent="0.25"/>
  <cols>
    <col min="1" max="1" width="1.6328125" style="121" customWidth="1"/>
    <col min="2" max="8" width="8.81640625" style="121"/>
    <col min="9" max="9" width="9.453125" style="121" customWidth="1"/>
    <col min="10" max="10" width="8.81640625" style="121"/>
    <col min="11" max="11" width="38" style="121" customWidth="1"/>
    <col min="12" max="12" width="10.6328125" style="149" customWidth="1"/>
    <col min="13" max="13" width="12.453125" style="149" customWidth="1"/>
    <col min="14" max="14" width="15.54296875" style="149" customWidth="1"/>
    <col min="15" max="15" width="13.81640625" style="149" customWidth="1"/>
    <col min="16" max="16384" width="8.81640625" style="121"/>
  </cols>
  <sheetData>
    <row r="2" spans="2:15" ht="13" x14ac:dyDescent="0.3">
      <c r="B2" s="117"/>
      <c r="C2" s="118"/>
      <c r="D2" s="118"/>
      <c r="E2" s="118"/>
      <c r="F2" s="118"/>
      <c r="G2" s="118"/>
      <c r="H2" s="118"/>
      <c r="I2" s="118"/>
      <c r="J2" s="118"/>
      <c r="K2" s="118"/>
      <c r="L2" s="119" t="s">
        <v>119</v>
      </c>
      <c r="M2" s="120">
        <v>2021</v>
      </c>
      <c r="N2" s="120">
        <v>2021</v>
      </c>
      <c r="O2" s="120">
        <v>2021</v>
      </c>
    </row>
    <row r="3" spans="2:15" ht="15.5" x14ac:dyDescent="0.35">
      <c r="B3" s="323" t="s">
        <v>306</v>
      </c>
      <c r="C3" s="323"/>
      <c r="D3" s="323"/>
      <c r="E3" s="323"/>
      <c r="F3" s="323"/>
      <c r="G3" s="323"/>
      <c r="H3" s="323"/>
      <c r="I3" s="323"/>
      <c r="J3" s="323"/>
      <c r="K3" s="124"/>
      <c r="L3" s="125"/>
      <c r="M3" s="126" t="s">
        <v>120</v>
      </c>
      <c r="N3" s="126" t="s">
        <v>236</v>
      </c>
      <c r="O3" s="126" t="s">
        <v>237</v>
      </c>
    </row>
    <row r="4" spans="2:15" x14ac:dyDescent="0.25">
      <c r="B4" s="127"/>
      <c r="C4" s="128"/>
      <c r="D4" s="128"/>
      <c r="E4" s="128"/>
      <c r="F4" s="128"/>
      <c r="G4" s="128"/>
      <c r="H4" s="128"/>
      <c r="I4" s="128"/>
      <c r="J4" s="128"/>
      <c r="K4" s="128"/>
      <c r="L4" s="129"/>
      <c r="M4" s="129"/>
      <c r="N4" s="129"/>
      <c r="O4" s="129"/>
    </row>
    <row r="5" spans="2:15" ht="13" x14ac:dyDescent="0.3">
      <c r="B5" s="127"/>
      <c r="C5" s="130" t="s">
        <v>121</v>
      </c>
      <c r="D5" s="131"/>
      <c r="E5" s="132"/>
      <c r="F5" s="132"/>
      <c r="G5" s="132"/>
      <c r="H5" s="132"/>
      <c r="I5" s="133"/>
      <c r="J5" s="128"/>
      <c r="K5" s="128"/>
      <c r="L5" s="129"/>
      <c r="M5" s="129"/>
      <c r="N5" s="134"/>
      <c r="O5" s="134"/>
    </row>
    <row r="6" spans="2:15" ht="25" customHeight="1" x14ac:dyDescent="0.25">
      <c r="B6" s="127"/>
      <c r="C6" s="128"/>
      <c r="D6" s="128"/>
      <c r="E6" s="311" t="s">
        <v>205</v>
      </c>
      <c r="F6" s="312"/>
      <c r="G6" s="312"/>
      <c r="H6" s="312"/>
      <c r="I6" s="312"/>
      <c r="J6" s="312"/>
      <c r="K6" s="313"/>
      <c r="L6" s="135" t="s">
        <v>123</v>
      </c>
      <c r="M6" s="213">
        <f>2</f>
        <v>2</v>
      </c>
      <c r="N6" s="213">
        <f>M6/2*60000</f>
        <v>60000</v>
      </c>
      <c r="O6" s="213">
        <f>M6/2*60000</f>
        <v>60000</v>
      </c>
    </row>
    <row r="7" spans="2:15" ht="25" customHeight="1" x14ac:dyDescent="0.25">
      <c r="B7" s="127"/>
      <c r="C7" s="128"/>
      <c r="D7" s="128"/>
      <c r="E7" s="311" t="s">
        <v>206</v>
      </c>
      <c r="F7" s="312"/>
      <c r="G7" s="312"/>
      <c r="H7" s="312"/>
      <c r="I7" s="312"/>
      <c r="J7" s="312"/>
      <c r="K7" s="313"/>
      <c r="L7" s="135" t="s">
        <v>123</v>
      </c>
      <c r="M7" s="214">
        <v>1</v>
      </c>
      <c r="N7" s="214">
        <f>0</f>
        <v>0</v>
      </c>
      <c r="O7" s="136">
        <f>M7*60000</f>
        <v>60000</v>
      </c>
    </row>
    <row r="8" spans="2:15" ht="25" customHeight="1" x14ac:dyDescent="0.25">
      <c r="B8" s="127"/>
      <c r="C8" s="128"/>
      <c r="D8" s="128"/>
      <c r="E8" s="324" t="s">
        <v>213</v>
      </c>
      <c r="F8" s="325"/>
      <c r="G8" s="325"/>
      <c r="H8" s="325"/>
      <c r="I8" s="325"/>
      <c r="J8" s="325"/>
      <c r="K8" s="326"/>
      <c r="L8" s="135" t="s">
        <v>122</v>
      </c>
      <c r="M8" s="214">
        <v>1</v>
      </c>
      <c r="N8" s="214">
        <f>0</f>
        <v>0</v>
      </c>
      <c r="O8" s="136">
        <f>(209*12*4)+(2000)*4</f>
        <v>18032</v>
      </c>
    </row>
    <row r="9" spans="2:15" x14ac:dyDescent="0.25">
      <c r="B9" s="127"/>
      <c r="C9" s="128"/>
      <c r="D9" s="128"/>
      <c r="E9" s="128"/>
      <c r="F9" s="128"/>
      <c r="G9" s="128"/>
      <c r="H9" s="128"/>
      <c r="I9" s="128"/>
      <c r="J9" s="128"/>
      <c r="K9" s="128"/>
      <c r="L9" s="129"/>
      <c r="M9" s="134"/>
      <c r="N9" s="134"/>
      <c r="O9" s="134"/>
    </row>
    <row r="10" spans="2:15" ht="13" x14ac:dyDescent="0.3">
      <c r="B10" s="127"/>
      <c r="C10" s="130" t="s">
        <v>124</v>
      </c>
      <c r="D10" s="131"/>
      <c r="E10" s="132"/>
      <c r="F10" s="132"/>
      <c r="G10" s="132"/>
      <c r="H10" s="132"/>
      <c r="I10" s="133"/>
      <c r="J10" s="128"/>
      <c r="K10" s="128"/>
      <c r="L10" s="129"/>
      <c r="M10" s="134"/>
      <c r="N10" s="134"/>
      <c r="O10" s="134"/>
    </row>
    <row r="11" spans="2:15" ht="22" customHeight="1" x14ac:dyDescent="0.25">
      <c r="B11" s="127"/>
      <c r="C11" s="128"/>
      <c r="D11" s="128"/>
      <c r="E11" s="309" t="s">
        <v>207</v>
      </c>
      <c r="F11" s="310"/>
      <c r="G11" s="310"/>
      <c r="H11" s="310"/>
      <c r="I11" s="310"/>
      <c r="J11" s="310"/>
      <c r="K11" s="314"/>
      <c r="L11" s="135" t="s">
        <v>123</v>
      </c>
      <c r="M11" s="213">
        <v>2</v>
      </c>
      <c r="N11" s="136">
        <f>0</f>
        <v>0</v>
      </c>
      <c r="O11" s="136">
        <f>M11*2000</f>
        <v>4000</v>
      </c>
    </row>
    <row r="12" spans="2:15" ht="22" customHeight="1" x14ac:dyDescent="0.25">
      <c r="B12" s="127"/>
      <c r="C12" s="128"/>
      <c r="D12" s="128"/>
      <c r="E12" s="309" t="s">
        <v>208</v>
      </c>
      <c r="F12" s="310"/>
      <c r="G12" s="310"/>
      <c r="H12" s="310"/>
      <c r="I12" s="310"/>
      <c r="J12" s="310"/>
      <c r="K12" s="314"/>
      <c r="L12" s="135" t="s">
        <v>123</v>
      </c>
      <c r="M12" s="213">
        <v>2</v>
      </c>
      <c r="N12" s="136">
        <f>0</f>
        <v>0</v>
      </c>
      <c r="O12" s="136">
        <f>M12*1000</f>
        <v>2000</v>
      </c>
    </row>
    <row r="13" spans="2:15" ht="22" customHeight="1" x14ac:dyDescent="0.25">
      <c r="B13" s="127"/>
      <c r="C13" s="128"/>
      <c r="D13" s="128"/>
      <c r="E13" s="309" t="s">
        <v>209</v>
      </c>
      <c r="F13" s="310"/>
      <c r="G13" s="310"/>
      <c r="H13" s="310"/>
      <c r="I13" s="310"/>
      <c r="J13" s="310"/>
      <c r="K13" s="314"/>
      <c r="L13" s="135" t="s">
        <v>123</v>
      </c>
      <c r="M13" s="213">
        <v>1</v>
      </c>
      <c r="N13" s="136">
        <f>0</f>
        <v>0</v>
      </c>
      <c r="O13" s="136">
        <f>M13*1200</f>
        <v>1200</v>
      </c>
    </row>
    <row r="14" spans="2:15" ht="22" customHeight="1" x14ac:dyDescent="0.25">
      <c r="B14" s="127"/>
      <c r="C14" s="128"/>
      <c r="D14" s="128"/>
      <c r="E14" s="309" t="s">
        <v>210</v>
      </c>
      <c r="F14" s="310"/>
      <c r="G14" s="310"/>
      <c r="H14" s="310"/>
      <c r="I14" s="310"/>
      <c r="J14" s="310"/>
      <c r="K14" s="314"/>
      <c r="L14" s="135" t="s">
        <v>123</v>
      </c>
      <c r="M14" s="213">
        <v>1</v>
      </c>
      <c r="N14" s="136">
        <f>0</f>
        <v>0</v>
      </c>
      <c r="O14" s="136">
        <f>M14*500</f>
        <v>500</v>
      </c>
    </row>
    <row r="15" spans="2:15" ht="22" customHeight="1" x14ac:dyDescent="0.25">
      <c r="B15" s="127"/>
      <c r="C15" s="128"/>
      <c r="D15" s="128"/>
      <c r="E15" s="309" t="s">
        <v>211</v>
      </c>
      <c r="F15" s="310"/>
      <c r="G15" s="310"/>
      <c r="H15" s="310"/>
      <c r="I15" s="310"/>
      <c r="J15" s="310"/>
      <c r="K15" s="314"/>
      <c r="L15" s="135" t="s">
        <v>123</v>
      </c>
      <c r="M15" s="213">
        <f>0</f>
        <v>0</v>
      </c>
      <c r="N15" s="136">
        <f>0</f>
        <v>0</v>
      </c>
      <c r="O15" s="136">
        <f>M15*11000</f>
        <v>0</v>
      </c>
    </row>
    <row r="16" spans="2:15" ht="32" customHeight="1" x14ac:dyDescent="0.25">
      <c r="B16" s="127"/>
      <c r="C16" s="128"/>
      <c r="D16" s="128"/>
      <c r="E16" s="309" t="s">
        <v>212</v>
      </c>
      <c r="F16" s="310"/>
      <c r="G16" s="310"/>
      <c r="H16" s="310"/>
      <c r="I16" s="310"/>
      <c r="J16" s="310"/>
      <c r="K16" s="314"/>
      <c r="L16" s="135" t="s">
        <v>123</v>
      </c>
      <c r="M16" s="214">
        <v>1</v>
      </c>
      <c r="N16" s="137">
        <f>0</f>
        <v>0</v>
      </c>
      <c r="O16" s="136">
        <f>1500</f>
        <v>1500</v>
      </c>
    </row>
    <row r="17" spans="2:15" ht="19" customHeight="1" x14ac:dyDescent="0.25">
      <c r="B17" s="127"/>
      <c r="C17" s="128"/>
      <c r="D17" s="128"/>
      <c r="E17" s="196"/>
      <c r="F17" s="196"/>
      <c r="G17" s="196"/>
      <c r="H17" s="196"/>
      <c r="I17" s="196"/>
      <c r="J17" s="196"/>
      <c r="K17" s="196"/>
      <c r="L17" s="129"/>
      <c r="M17" s="215"/>
      <c r="N17" s="134"/>
      <c r="O17" s="134"/>
    </row>
    <row r="18" spans="2:15" ht="13" x14ac:dyDescent="0.3">
      <c r="B18" s="127"/>
      <c r="C18" s="315" t="s">
        <v>228</v>
      </c>
      <c r="D18" s="316"/>
      <c r="E18" s="316"/>
      <c r="F18" s="316"/>
      <c r="G18" s="316"/>
      <c r="H18" s="316"/>
      <c r="I18" s="317"/>
      <c r="J18" s="128"/>
      <c r="K18" s="128"/>
      <c r="L18" s="129"/>
      <c r="M18" s="134"/>
      <c r="N18" s="134"/>
      <c r="O18" s="134"/>
    </row>
    <row r="19" spans="2:15" ht="42" customHeight="1" x14ac:dyDescent="0.25">
      <c r="B19" s="127"/>
      <c r="C19" s="128"/>
      <c r="D19" s="128"/>
      <c r="E19" s="309" t="s">
        <v>214</v>
      </c>
      <c r="F19" s="310"/>
      <c r="G19" s="310"/>
      <c r="H19" s="310"/>
      <c r="I19" s="310"/>
      <c r="J19" s="310"/>
      <c r="K19" s="314"/>
      <c r="L19" s="135" t="s">
        <v>123</v>
      </c>
      <c r="M19" s="136">
        <v>2</v>
      </c>
      <c r="N19" s="136">
        <f>0</f>
        <v>0</v>
      </c>
      <c r="O19" s="136">
        <f>M19*7500</f>
        <v>15000</v>
      </c>
    </row>
    <row r="20" spans="2:15" ht="25" customHeight="1" x14ac:dyDescent="0.25">
      <c r="B20" s="127"/>
      <c r="C20" s="128"/>
      <c r="D20" s="128"/>
      <c r="E20" s="309" t="s">
        <v>215</v>
      </c>
      <c r="F20" s="310"/>
      <c r="G20" s="310"/>
      <c r="H20" s="310"/>
      <c r="I20" s="310"/>
      <c r="J20" s="310"/>
      <c r="K20" s="314"/>
      <c r="L20" s="135" t="s">
        <v>123</v>
      </c>
      <c r="M20" s="136">
        <v>1</v>
      </c>
      <c r="N20" s="136">
        <f>0</f>
        <v>0</v>
      </c>
      <c r="O20" s="136">
        <f>M20*10000</f>
        <v>10000</v>
      </c>
    </row>
    <row r="21" spans="2:15" ht="18" customHeight="1" x14ac:dyDescent="0.25">
      <c r="B21" s="127"/>
      <c r="C21" s="128"/>
      <c r="D21" s="128"/>
      <c r="E21" s="197"/>
      <c r="F21" s="197"/>
      <c r="G21" s="197"/>
      <c r="H21" s="197"/>
      <c r="I21" s="197"/>
      <c r="J21" s="196"/>
      <c r="K21" s="196"/>
      <c r="L21" s="129"/>
      <c r="M21" s="134"/>
      <c r="N21" s="134"/>
      <c r="O21" s="134"/>
    </row>
    <row r="22" spans="2:15" ht="15.5" x14ac:dyDescent="0.25">
      <c r="B22" s="138" t="s">
        <v>125</v>
      </c>
      <c r="C22" s="122"/>
      <c r="D22" s="122"/>
      <c r="E22" s="122"/>
      <c r="F22" s="122"/>
      <c r="G22" s="122"/>
      <c r="H22" s="122"/>
      <c r="I22" s="123"/>
      <c r="J22" s="128"/>
      <c r="K22" s="128"/>
      <c r="L22" s="129"/>
      <c r="M22" s="134"/>
      <c r="N22" s="134"/>
      <c r="O22" s="134"/>
    </row>
    <row r="23" spans="2:15" x14ac:dyDescent="0.25">
      <c r="B23" s="127"/>
      <c r="C23" s="128"/>
      <c r="D23" s="128"/>
      <c r="E23" s="128"/>
      <c r="F23" s="128"/>
      <c r="G23" s="128"/>
      <c r="H23" s="128"/>
      <c r="I23" s="128"/>
      <c r="J23" s="128"/>
      <c r="K23" s="128"/>
      <c r="L23" s="129"/>
      <c r="M23" s="134"/>
      <c r="N23" s="134"/>
      <c r="O23" s="134"/>
    </row>
    <row r="24" spans="2:15" ht="13" x14ac:dyDescent="0.3">
      <c r="B24" s="127"/>
      <c r="C24" s="130" t="s">
        <v>234</v>
      </c>
      <c r="D24" s="131"/>
      <c r="E24" s="131"/>
      <c r="F24" s="132"/>
      <c r="G24" s="132"/>
      <c r="H24" s="132"/>
      <c r="I24" s="133"/>
      <c r="J24" s="128"/>
      <c r="K24" s="128"/>
      <c r="L24" s="129"/>
      <c r="M24" s="134"/>
      <c r="N24" s="134"/>
      <c r="O24" s="134"/>
    </row>
    <row r="25" spans="2:15" ht="19" customHeight="1" x14ac:dyDescent="0.25">
      <c r="B25" s="127"/>
      <c r="C25" s="128"/>
      <c r="D25" s="128"/>
      <c r="E25" s="309" t="s">
        <v>221</v>
      </c>
      <c r="F25" s="310"/>
      <c r="G25" s="310"/>
      <c r="H25" s="310"/>
      <c r="I25" s="310"/>
      <c r="J25" s="310"/>
      <c r="K25" s="310"/>
      <c r="L25" s="135" t="s">
        <v>123</v>
      </c>
      <c r="M25" s="213">
        <f>PPB!D37</f>
        <v>10</v>
      </c>
      <c r="N25" s="136">
        <f>0</f>
        <v>0</v>
      </c>
      <c r="O25" s="213">
        <f>M25*(1406+1000)</f>
        <v>24060</v>
      </c>
    </row>
    <row r="26" spans="2:15" x14ac:dyDescent="0.25">
      <c r="B26" s="127"/>
      <c r="C26" s="128"/>
      <c r="D26" s="128"/>
      <c r="E26" s="128"/>
      <c r="F26" s="128"/>
      <c r="G26" s="128"/>
      <c r="H26" s="128"/>
      <c r="I26" s="128"/>
      <c r="J26" s="128"/>
      <c r="K26" s="128"/>
      <c r="L26" s="129"/>
      <c r="M26" s="134"/>
      <c r="N26" s="134"/>
      <c r="O26" s="134"/>
    </row>
    <row r="27" spans="2:15" ht="13" x14ac:dyDescent="0.3">
      <c r="B27" s="127"/>
      <c r="C27" s="130" t="s">
        <v>127</v>
      </c>
      <c r="D27" s="131"/>
      <c r="E27" s="132"/>
      <c r="F27" s="132"/>
      <c r="G27" s="132"/>
      <c r="H27" s="132"/>
      <c r="I27" s="133"/>
      <c r="J27" s="128"/>
      <c r="K27" s="128"/>
      <c r="L27" s="129"/>
      <c r="M27" s="134"/>
      <c r="N27" s="134"/>
      <c r="O27" s="134"/>
    </row>
    <row r="28" spans="2:15" ht="28" customHeight="1" x14ac:dyDescent="0.25">
      <c r="B28" s="127"/>
      <c r="C28" s="128"/>
      <c r="D28" s="128"/>
      <c r="E28" s="309" t="s">
        <v>235</v>
      </c>
      <c r="F28" s="310"/>
      <c r="G28" s="310"/>
      <c r="H28" s="310"/>
      <c r="I28" s="310"/>
      <c r="J28" s="310"/>
      <c r="K28" s="314"/>
      <c r="L28" s="135" t="s">
        <v>123</v>
      </c>
      <c r="M28" s="136">
        <v>1</v>
      </c>
      <c r="N28" s="136">
        <f>0</f>
        <v>0</v>
      </c>
      <c r="O28" s="136">
        <f>45000</f>
        <v>45000</v>
      </c>
    </row>
    <row r="29" spans="2:15" x14ac:dyDescent="0.25">
      <c r="B29" s="127"/>
      <c r="C29" s="128"/>
      <c r="D29" s="128"/>
      <c r="E29" s="128"/>
      <c r="F29" s="128"/>
      <c r="G29" s="128"/>
      <c r="H29" s="128"/>
      <c r="I29" s="128"/>
      <c r="J29" s="128"/>
      <c r="K29" s="128"/>
      <c r="L29" s="129"/>
      <c r="M29" s="134"/>
      <c r="N29" s="134"/>
      <c r="O29" s="134"/>
    </row>
    <row r="30" spans="2:15" ht="13" x14ac:dyDescent="0.3">
      <c r="B30" s="127"/>
      <c r="C30" s="130" t="s">
        <v>128</v>
      </c>
      <c r="D30" s="131"/>
      <c r="E30" s="132"/>
      <c r="F30" s="132"/>
      <c r="G30" s="132"/>
      <c r="H30" s="132"/>
      <c r="I30" s="133"/>
      <c r="J30" s="128"/>
      <c r="K30" s="128"/>
      <c r="L30" s="129"/>
      <c r="M30" s="134"/>
      <c r="N30" s="134"/>
      <c r="O30" s="134"/>
    </row>
    <row r="31" spans="2:15" ht="29.25" customHeight="1" x14ac:dyDescent="0.25">
      <c r="B31" s="127"/>
      <c r="C31" s="128"/>
      <c r="D31" s="128"/>
      <c r="E31" s="309" t="s">
        <v>222</v>
      </c>
      <c r="F31" s="310"/>
      <c r="G31" s="310"/>
      <c r="H31" s="310"/>
      <c r="I31" s="310"/>
      <c r="J31" s="310"/>
      <c r="K31" s="314"/>
      <c r="L31" s="135" t="s">
        <v>123</v>
      </c>
      <c r="M31" s="213">
        <v>0</v>
      </c>
      <c r="N31" s="136">
        <f>0</f>
        <v>0</v>
      </c>
      <c r="O31" s="213">
        <f>1500*M31</f>
        <v>0</v>
      </c>
    </row>
    <row r="32" spans="2:15" x14ac:dyDescent="0.25">
      <c r="B32" s="127"/>
      <c r="C32" s="128"/>
      <c r="D32" s="128"/>
      <c r="E32" s="128"/>
      <c r="F32" s="128"/>
      <c r="G32" s="128"/>
      <c r="H32" s="128"/>
      <c r="I32" s="128"/>
      <c r="J32" s="128"/>
      <c r="K32" s="128"/>
      <c r="L32" s="129"/>
      <c r="M32" s="134"/>
      <c r="N32" s="134"/>
      <c r="O32" s="134"/>
    </row>
    <row r="33" spans="2:15" x14ac:dyDescent="0.25">
      <c r="B33" s="127"/>
      <c r="C33" s="128"/>
      <c r="D33" s="128"/>
      <c r="E33" s="128"/>
      <c r="F33" s="128"/>
      <c r="G33" s="128"/>
      <c r="H33" s="128"/>
      <c r="I33" s="128"/>
      <c r="J33" s="128"/>
      <c r="K33" s="128"/>
      <c r="L33" s="129"/>
      <c r="M33" s="134"/>
      <c r="N33" s="134"/>
      <c r="O33" s="134"/>
    </row>
    <row r="34" spans="2:15" ht="13" x14ac:dyDescent="0.3">
      <c r="B34" s="127"/>
      <c r="C34" s="130" t="s">
        <v>233</v>
      </c>
      <c r="D34" s="131"/>
      <c r="E34" s="131"/>
      <c r="F34" s="131"/>
      <c r="G34" s="131"/>
      <c r="H34" s="131"/>
      <c r="I34" s="141"/>
      <c r="J34" s="140"/>
      <c r="K34" s="140"/>
      <c r="L34" s="142"/>
      <c r="M34" s="143"/>
      <c r="N34" s="143"/>
      <c r="O34" s="143"/>
    </row>
    <row r="35" spans="2:15" ht="29" customHeight="1" x14ac:dyDescent="0.25">
      <c r="B35" s="127"/>
      <c r="C35" s="128"/>
      <c r="D35" s="128"/>
      <c r="E35" s="327" t="s">
        <v>218</v>
      </c>
      <c r="F35" s="328"/>
      <c r="G35" s="328"/>
      <c r="H35" s="328"/>
      <c r="I35" s="328"/>
      <c r="J35" s="328"/>
      <c r="K35" s="329"/>
      <c r="L35" s="135" t="s">
        <v>123</v>
      </c>
      <c r="M35" s="136">
        <v>0</v>
      </c>
      <c r="N35" s="136">
        <f>0</f>
        <v>0</v>
      </c>
      <c r="O35" s="136">
        <f>M35*1000</f>
        <v>0</v>
      </c>
    </row>
    <row r="36" spans="2:15" ht="23" customHeight="1" x14ac:dyDescent="0.25">
      <c r="B36" s="127"/>
      <c r="C36" s="128"/>
      <c r="D36" s="128"/>
      <c r="E36" s="330" t="s">
        <v>219</v>
      </c>
      <c r="F36" s="331"/>
      <c r="G36" s="331"/>
      <c r="H36" s="331"/>
      <c r="I36" s="331"/>
      <c r="J36" s="331"/>
      <c r="K36" s="332"/>
      <c r="L36" s="135" t="s">
        <v>123</v>
      </c>
      <c r="M36" s="137">
        <v>4</v>
      </c>
      <c r="N36" s="136">
        <f>0</f>
        <v>0</v>
      </c>
      <c r="O36" s="136">
        <f>M36*2000</f>
        <v>8000</v>
      </c>
    </row>
    <row r="37" spans="2:15" ht="33" customHeight="1" x14ac:dyDescent="0.25">
      <c r="B37" s="127"/>
      <c r="C37" s="128"/>
      <c r="D37" s="128"/>
      <c r="E37" s="309" t="s">
        <v>220</v>
      </c>
      <c r="F37" s="310"/>
      <c r="G37" s="310"/>
      <c r="H37" s="310"/>
      <c r="I37" s="310"/>
      <c r="J37" s="310"/>
      <c r="K37" s="310"/>
      <c r="L37" s="135" t="s">
        <v>123</v>
      </c>
      <c r="M37" s="136">
        <v>35</v>
      </c>
      <c r="N37" s="136">
        <f>0</f>
        <v>0</v>
      </c>
      <c r="O37" s="136">
        <f>M37*500</f>
        <v>17500</v>
      </c>
    </row>
    <row r="38" spans="2:15" x14ac:dyDescent="0.25">
      <c r="B38" s="127"/>
      <c r="C38" s="128"/>
      <c r="D38" s="128"/>
      <c r="E38" s="128"/>
      <c r="F38" s="128"/>
      <c r="G38" s="128"/>
      <c r="H38" s="128"/>
      <c r="I38" s="128"/>
      <c r="J38" s="128"/>
      <c r="K38" s="128"/>
      <c r="L38" s="129"/>
      <c r="M38" s="134"/>
      <c r="N38" s="134"/>
      <c r="O38" s="134"/>
    </row>
    <row r="39" spans="2:15" ht="15.5" x14ac:dyDescent="0.25">
      <c r="B39" s="138" t="s">
        <v>129</v>
      </c>
      <c r="C39" s="122"/>
      <c r="D39" s="122"/>
      <c r="E39" s="122"/>
      <c r="F39" s="122"/>
      <c r="G39" s="122"/>
      <c r="H39" s="122"/>
      <c r="I39" s="123"/>
      <c r="J39" s="128"/>
      <c r="K39" s="128"/>
      <c r="L39" s="129"/>
      <c r="M39" s="134"/>
      <c r="N39" s="134"/>
      <c r="O39" s="134"/>
    </row>
    <row r="40" spans="2:15" x14ac:dyDescent="0.25">
      <c r="B40" s="127"/>
      <c r="C40" s="128"/>
      <c r="D40" s="128"/>
      <c r="E40" s="128"/>
      <c r="F40" s="128"/>
      <c r="G40" s="128"/>
      <c r="H40" s="128"/>
      <c r="I40" s="128"/>
      <c r="J40" s="128"/>
      <c r="K40" s="128"/>
      <c r="L40" s="129"/>
      <c r="M40" s="134"/>
      <c r="N40" s="134"/>
      <c r="O40" s="134"/>
    </row>
    <row r="41" spans="2:15" ht="13" x14ac:dyDescent="0.3">
      <c r="B41" s="127"/>
      <c r="C41" s="130" t="s">
        <v>223</v>
      </c>
      <c r="D41" s="131"/>
      <c r="E41" s="132"/>
      <c r="F41" s="132"/>
      <c r="G41" s="132"/>
      <c r="H41" s="132"/>
      <c r="I41" s="133"/>
      <c r="J41" s="128"/>
      <c r="K41" s="128"/>
      <c r="L41" s="129"/>
      <c r="M41" s="134"/>
      <c r="N41" s="134"/>
      <c r="O41" s="134"/>
    </row>
    <row r="42" spans="2:15" ht="30" customHeight="1" x14ac:dyDescent="0.25">
      <c r="B42" s="127"/>
      <c r="C42" s="128"/>
      <c r="D42" s="128"/>
      <c r="E42" s="309" t="s">
        <v>224</v>
      </c>
      <c r="F42" s="310"/>
      <c r="G42" s="310"/>
      <c r="H42" s="310"/>
      <c r="I42" s="310"/>
      <c r="J42" s="310"/>
      <c r="K42" s="310"/>
      <c r="L42" s="135" t="s">
        <v>123</v>
      </c>
      <c r="M42" s="213">
        <v>2</v>
      </c>
      <c r="N42" s="136">
        <f>0</f>
        <v>0</v>
      </c>
      <c r="O42" s="213">
        <f>M42*((4*400*4)+(1400))</f>
        <v>15600</v>
      </c>
    </row>
    <row r="43" spans="2:15" ht="40" customHeight="1" x14ac:dyDescent="0.25">
      <c r="B43" s="127"/>
      <c r="C43" s="128"/>
      <c r="D43" s="128"/>
      <c r="E43" s="309" t="s">
        <v>225</v>
      </c>
      <c r="F43" s="310"/>
      <c r="G43" s="310"/>
      <c r="H43" s="310"/>
      <c r="I43" s="310"/>
      <c r="J43" s="310"/>
      <c r="K43" s="310"/>
      <c r="L43" s="135" t="s">
        <v>123</v>
      </c>
      <c r="M43" s="213">
        <v>3</v>
      </c>
      <c r="N43" s="136">
        <f>0</f>
        <v>0</v>
      </c>
      <c r="O43" s="213">
        <f>3*((2*400*8)+(1400))</f>
        <v>23400</v>
      </c>
    </row>
    <row r="44" spans="2:15" ht="19" customHeight="1" x14ac:dyDescent="0.25">
      <c r="B44" s="127"/>
      <c r="C44" s="128"/>
      <c r="D44" s="128"/>
      <c r="E44" s="208"/>
      <c r="F44" s="208"/>
      <c r="G44" s="208"/>
      <c r="H44" s="208"/>
      <c r="I44" s="208"/>
      <c r="J44" s="208"/>
      <c r="K44" s="208"/>
      <c r="L44" s="129"/>
      <c r="M44" s="215"/>
      <c r="N44" s="134"/>
      <c r="O44" s="134"/>
    </row>
    <row r="45" spans="2:15" ht="13" x14ac:dyDescent="0.3">
      <c r="B45" s="127"/>
      <c r="C45" s="130" t="s">
        <v>227</v>
      </c>
      <c r="D45" s="131"/>
      <c r="E45" s="132"/>
      <c r="F45" s="132"/>
      <c r="G45" s="132"/>
      <c r="H45" s="132"/>
      <c r="I45" s="133"/>
      <c r="J45" s="128"/>
      <c r="K45" s="128"/>
      <c r="L45" s="129"/>
      <c r="M45" s="134"/>
      <c r="N45" s="134"/>
      <c r="O45" s="134"/>
    </row>
    <row r="46" spans="2:15" s="219" customFormat="1" ht="31" customHeight="1" x14ac:dyDescent="0.25">
      <c r="B46" s="217"/>
      <c r="C46" s="218"/>
      <c r="D46" s="218"/>
      <c r="E46" s="322" t="s">
        <v>310</v>
      </c>
      <c r="F46" s="322"/>
      <c r="G46" s="322"/>
      <c r="H46" s="322"/>
      <c r="I46" s="322"/>
      <c r="J46" s="322"/>
      <c r="K46" s="322"/>
      <c r="L46" s="135" t="s">
        <v>123</v>
      </c>
      <c r="M46" s="213">
        <v>1</v>
      </c>
      <c r="N46" s="213"/>
      <c r="O46" s="213">
        <f>M46*160000</f>
        <v>160000</v>
      </c>
    </row>
    <row r="47" spans="2:15" s="219" customFormat="1" ht="31" customHeight="1" x14ac:dyDescent="0.25">
      <c r="B47" s="217"/>
      <c r="C47" s="218"/>
      <c r="D47" s="218"/>
      <c r="E47" s="309" t="s">
        <v>309</v>
      </c>
      <c r="F47" s="310"/>
      <c r="G47" s="310"/>
      <c r="H47" s="310"/>
      <c r="I47" s="310"/>
      <c r="J47" s="310"/>
      <c r="K47" s="314"/>
      <c r="L47" s="135" t="s">
        <v>123</v>
      </c>
      <c r="M47" s="213">
        <f>2</f>
        <v>2</v>
      </c>
      <c r="N47" s="213">
        <f>0</f>
        <v>0</v>
      </c>
      <c r="O47" s="213">
        <f>M47*90000</f>
        <v>180000</v>
      </c>
    </row>
    <row r="48" spans="2:15" s="219" customFormat="1" ht="31" customHeight="1" x14ac:dyDescent="0.25">
      <c r="B48" s="217"/>
      <c r="C48" s="218"/>
      <c r="D48" s="218"/>
      <c r="E48" s="309" t="s">
        <v>316</v>
      </c>
      <c r="F48" s="310"/>
      <c r="G48" s="310"/>
      <c r="H48" s="310"/>
      <c r="I48" s="310"/>
      <c r="J48" s="310"/>
      <c r="K48" s="314"/>
      <c r="L48" s="135" t="s">
        <v>123</v>
      </c>
      <c r="M48" s="213">
        <v>8</v>
      </c>
      <c r="N48" s="213">
        <f>0</f>
        <v>0</v>
      </c>
      <c r="O48" s="213">
        <f>M48*25000</f>
        <v>200000</v>
      </c>
    </row>
    <row r="49" spans="2:15" s="219" customFormat="1" ht="31" customHeight="1" x14ac:dyDescent="0.25">
      <c r="B49" s="217"/>
      <c r="C49" s="218"/>
      <c r="D49" s="218"/>
      <c r="E49" s="322" t="s">
        <v>299</v>
      </c>
      <c r="F49" s="322"/>
      <c r="G49" s="322"/>
      <c r="H49" s="322"/>
      <c r="I49" s="322"/>
      <c r="J49" s="322"/>
      <c r="K49" s="322"/>
      <c r="L49" s="135" t="s">
        <v>123</v>
      </c>
      <c r="M49" s="213">
        <f>14+17</f>
        <v>31</v>
      </c>
      <c r="N49" s="136">
        <f>0</f>
        <v>0</v>
      </c>
      <c r="O49" s="213">
        <f>20000*M49</f>
        <v>620000</v>
      </c>
    </row>
    <row r="50" spans="2:15" s="219" customFormat="1" ht="31" customHeight="1" x14ac:dyDescent="0.25">
      <c r="B50" s="217"/>
      <c r="C50" s="218"/>
      <c r="D50" s="218"/>
      <c r="E50" s="322" t="s">
        <v>232</v>
      </c>
      <c r="F50" s="322"/>
      <c r="G50" s="322"/>
      <c r="H50" s="322"/>
      <c r="I50" s="322"/>
      <c r="J50" s="322"/>
      <c r="K50" s="322"/>
      <c r="L50" s="135" t="s">
        <v>123</v>
      </c>
      <c r="M50" s="213">
        <v>1</v>
      </c>
      <c r="N50" s="136">
        <f>0</f>
        <v>0</v>
      </c>
      <c r="O50" s="213">
        <f>260000</f>
        <v>260000</v>
      </c>
    </row>
    <row r="51" spans="2:15" s="219" customFormat="1" ht="31" customHeight="1" x14ac:dyDescent="0.25">
      <c r="B51" s="217"/>
      <c r="C51" s="218"/>
      <c r="D51" s="218"/>
      <c r="E51" s="322" t="s">
        <v>226</v>
      </c>
      <c r="F51" s="322"/>
      <c r="G51" s="322"/>
      <c r="H51" s="322"/>
      <c r="I51" s="322"/>
      <c r="J51" s="322"/>
      <c r="K51" s="322"/>
      <c r="L51" s="135" t="s">
        <v>123</v>
      </c>
      <c r="M51" s="213">
        <v>6</v>
      </c>
      <c r="N51" s="136">
        <f>0</f>
        <v>0</v>
      </c>
      <c r="O51" s="213">
        <f>M51*4000</f>
        <v>24000</v>
      </c>
    </row>
    <row r="52" spans="2:15" s="219" customFormat="1" ht="18" customHeight="1" x14ac:dyDescent="0.25">
      <c r="B52" s="217"/>
      <c r="C52" s="218"/>
      <c r="D52" s="218"/>
      <c r="E52" s="208"/>
      <c r="F52" s="208"/>
      <c r="G52" s="208"/>
      <c r="H52" s="208"/>
      <c r="I52" s="208"/>
      <c r="J52" s="208"/>
      <c r="K52" s="208"/>
      <c r="L52" s="129"/>
      <c r="M52" s="215"/>
      <c r="N52" s="215"/>
      <c r="O52" s="215"/>
    </row>
    <row r="53" spans="2:15" ht="13" x14ac:dyDescent="0.3">
      <c r="B53" s="127"/>
      <c r="C53" s="315" t="s">
        <v>130</v>
      </c>
      <c r="D53" s="316"/>
      <c r="E53" s="316"/>
      <c r="F53" s="316"/>
      <c r="G53" s="316"/>
      <c r="H53" s="316"/>
      <c r="I53" s="317"/>
      <c r="J53" s="128"/>
      <c r="K53" s="128"/>
      <c r="L53" s="129"/>
      <c r="M53" s="215"/>
      <c r="N53" s="215"/>
      <c r="O53" s="215"/>
    </row>
    <row r="54" spans="2:15" ht="31" customHeight="1" x14ac:dyDescent="0.25">
      <c r="B54" s="127"/>
      <c r="C54" s="128"/>
      <c r="D54" s="128"/>
      <c r="E54" s="309" t="s">
        <v>231</v>
      </c>
      <c r="F54" s="310"/>
      <c r="G54" s="310"/>
      <c r="H54" s="310"/>
      <c r="I54" s="310"/>
      <c r="J54" s="310"/>
      <c r="K54" s="310"/>
      <c r="L54" s="135" t="s">
        <v>123</v>
      </c>
      <c r="M54" s="213">
        <f>0</f>
        <v>0</v>
      </c>
      <c r="N54" s="213">
        <f>0</f>
        <v>0</v>
      </c>
      <c r="O54" s="213">
        <f>15000*M54</f>
        <v>0</v>
      </c>
    </row>
    <row r="55" spans="2:15" ht="22" customHeight="1" x14ac:dyDescent="0.25">
      <c r="B55" s="127"/>
      <c r="C55" s="128"/>
      <c r="D55" s="128"/>
      <c r="E55" s="209"/>
      <c r="F55" s="209"/>
      <c r="G55" s="209"/>
      <c r="H55" s="209"/>
      <c r="I55" s="209"/>
      <c r="J55" s="208"/>
      <c r="K55" s="208"/>
      <c r="L55" s="129"/>
      <c r="M55" s="215"/>
      <c r="N55" s="134"/>
      <c r="O55" s="134"/>
    </row>
    <row r="56" spans="2:15" ht="15.5" x14ac:dyDescent="0.25">
      <c r="B56" s="318" t="s">
        <v>229</v>
      </c>
      <c r="C56" s="319"/>
      <c r="D56" s="319"/>
      <c r="E56" s="320"/>
      <c r="F56" s="320"/>
      <c r="G56" s="320"/>
      <c r="H56" s="320"/>
      <c r="I56" s="321"/>
      <c r="J56" s="128"/>
      <c r="K56" s="128"/>
      <c r="L56" s="129"/>
      <c r="M56" s="134"/>
      <c r="N56" s="134"/>
      <c r="O56" s="134"/>
    </row>
    <row r="57" spans="2:15" ht="18" customHeight="1" x14ac:dyDescent="0.25">
      <c r="B57" s="127"/>
      <c r="C57" s="128"/>
      <c r="D57" s="128"/>
      <c r="E57" s="128"/>
      <c r="F57" s="128"/>
      <c r="G57" s="128"/>
      <c r="H57" s="128"/>
      <c r="I57" s="128"/>
      <c r="J57" s="128"/>
      <c r="K57" s="128"/>
      <c r="L57" s="129"/>
      <c r="M57" s="215"/>
      <c r="N57" s="215"/>
      <c r="O57" s="215"/>
    </row>
    <row r="58" spans="2:15" ht="13" x14ac:dyDescent="0.3">
      <c r="B58" s="127"/>
      <c r="C58" s="130" t="s">
        <v>230</v>
      </c>
      <c r="D58" s="131"/>
      <c r="E58" s="132"/>
      <c r="F58" s="132"/>
      <c r="G58" s="132"/>
      <c r="H58" s="132"/>
      <c r="I58" s="133"/>
      <c r="J58" s="128"/>
      <c r="K58" s="128"/>
      <c r="L58" s="129"/>
      <c r="M58" s="215"/>
      <c r="N58" s="215"/>
      <c r="O58" s="215"/>
    </row>
    <row r="59" spans="2:15" ht="43" customHeight="1" x14ac:dyDescent="0.25">
      <c r="B59" s="127"/>
      <c r="C59" s="128"/>
      <c r="D59" s="128"/>
      <c r="E59" s="309" t="s">
        <v>305</v>
      </c>
      <c r="F59" s="310"/>
      <c r="G59" s="310"/>
      <c r="H59" s="310"/>
      <c r="I59" s="310"/>
      <c r="J59" s="310"/>
      <c r="K59" s="310"/>
      <c r="L59" s="135" t="s">
        <v>123</v>
      </c>
      <c r="M59" s="213">
        <v>1</v>
      </c>
      <c r="N59" s="213">
        <f>0</f>
        <v>0</v>
      </c>
      <c r="O59" s="213">
        <f>35000</f>
        <v>35000</v>
      </c>
    </row>
    <row r="60" spans="2:15" x14ac:dyDescent="0.25">
      <c r="B60" s="127"/>
      <c r="C60" s="128"/>
      <c r="D60" s="128"/>
      <c r="E60" s="128"/>
      <c r="F60" s="128"/>
      <c r="G60" s="128"/>
      <c r="H60" s="128"/>
      <c r="I60" s="128"/>
      <c r="J60" s="128"/>
      <c r="K60" s="128"/>
      <c r="L60" s="129"/>
      <c r="M60" s="134"/>
      <c r="N60" s="134"/>
      <c r="O60" s="134"/>
    </row>
    <row r="61" spans="2:15" ht="13" x14ac:dyDescent="0.3">
      <c r="B61" s="127"/>
      <c r="C61" s="128"/>
      <c r="D61" s="128"/>
      <c r="E61" s="128"/>
      <c r="F61" s="128"/>
      <c r="G61" s="128"/>
      <c r="H61" s="128"/>
      <c r="I61" s="128"/>
      <c r="J61" s="144" t="s">
        <v>131</v>
      </c>
      <c r="K61" s="145"/>
      <c r="L61" s="146"/>
      <c r="M61" s="146">
        <f>SUM(M6:M59)</f>
        <v>119</v>
      </c>
      <c r="N61" s="147">
        <f>SUM(N6:N59)</f>
        <v>60000</v>
      </c>
      <c r="O61" s="147">
        <f>SUM(O6:O59)</f>
        <v>1784792</v>
      </c>
    </row>
    <row r="62" spans="2:15" x14ac:dyDescent="0.25">
      <c r="B62" s="127"/>
      <c r="C62" s="128"/>
      <c r="D62" s="128"/>
      <c r="E62" s="128"/>
      <c r="F62" s="128"/>
      <c r="G62" s="128"/>
      <c r="H62" s="128"/>
      <c r="I62" s="128"/>
      <c r="J62" s="128"/>
      <c r="K62" s="128"/>
      <c r="L62" s="129"/>
      <c r="M62" s="134"/>
      <c r="N62" s="134"/>
      <c r="O62" s="134"/>
    </row>
    <row r="63" spans="2:15" ht="13" x14ac:dyDescent="0.3">
      <c r="B63" s="139"/>
      <c r="C63" s="140"/>
      <c r="D63" s="140"/>
      <c r="E63" s="140"/>
      <c r="F63" s="140"/>
      <c r="G63" s="140"/>
      <c r="H63" s="140"/>
      <c r="I63" s="140"/>
      <c r="J63" s="144" t="s">
        <v>132</v>
      </c>
      <c r="K63" s="145"/>
      <c r="L63" s="148"/>
      <c r="M63" s="146">
        <f>M61-M59-M28-M8</f>
        <v>116</v>
      </c>
      <c r="N63" s="147">
        <f>N61-N59-N28-N8</f>
        <v>60000</v>
      </c>
      <c r="O63" s="147">
        <f>O61-O59-O28-O8</f>
        <v>1686760</v>
      </c>
    </row>
    <row r="66" spans="15:15" x14ac:dyDescent="0.25">
      <c r="O66" s="191"/>
    </row>
  </sheetData>
  <mergeCells count="31">
    <mergeCell ref="B3:J3"/>
    <mergeCell ref="E54:K54"/>
    <mergeCell ref="E48:K48"/>
    <mergeCell ref="E8:K8"/>
    <mergeCell ref="E11:K11"/>
    <mergeCell ref="E15:K15"/>
    <mergeCell ref="E16:K16"/>
    <mergeCell ref="E37:K37"/>
    <mergeCell ref="E25:K25"/>
    <mergeCell ref="E42:K42"/>
    <mergeCell ref="E46:K46"/>
    <mergeCell ref="E47:K47"/>
    <mergeCell ref="E35:K35"/>
    <mergeCell ref="E6:K6"/>
    <mergeCell ref="E31:K31"/>
    <mergeCell ref="E36:K36"/>
    <mergeCell ref="E59:K59"/>
    <mergeCell ref="B56:I56"/>
    <mergeCell ref="C53:I53"/>
    <mergeCell ref="E49:K49"/>
    <mergeCell ref="E50:K50"/>
    <mergeCell ref="E51:K51"/>
    <mergeCell ref="E43:K43"/>
    <mergeCell ref="E7:K7"/>
    <mergeCell ref="E28:K28"/>
    <mergeCell ref="E13:K13"/>
    <mergeCell ref="E14:K14"/>
    <mergeCell ref="E19:K19"/>
    <mergeCell ref="C18:I18"/>
    <mergeCell ref="E20:K20"/>
    <mergeCell ref="E12:K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0B9C-8374-914F-ABFD-FDA06C89A27D}">
  <dimension ref="C2:D64"/>
  <sheetViews>
    <sheetView workbookViewId="0">
      <selection activeCell="D8" sqref="D8:D9"/>
    </sheetView>
  </sheetViews>
  <sheetFormatPr defaultColWidth="10.90625" defaultRowHeight="12.5" x14ac:dyDescent="0.25"/>
  <cols>
    <col min="3" max="3" width="83.453125" customWidth="1"/>
  </cols>
  <sheetData>
    <row r="2" spans="3:4" ht="13" thickBot="1" x14ac:dyDescent="0.3"/>
    <row r="3" spans="3:4" ht="13" thickBot="1" x14ac:dyDescent="0.3">
      <c r="C3" s="198" t="s">
        <v>161</v>
      </c>
      <c r="D3" s="199" t="s">
        <v>162</v>
      </c>
    </row>
    <row r="4" spans="3:4" ht="13" thickTop="1" x14ac:dyDescent="0.25">
      <c r="C4" s="200"/>
      <c r="D4" s="201"/>
    </row>
    <row r="5" spans="3:4" ht="27" customHeight="1" x14ac:dyDescent="0.25">
      <c r="C5" s="216" t="s">
        <v>163</v>
      </c>
      <c r="D5" s="201"/>
    </row>
    <row r="6" spans="3:4" x14ac:dyDescent="0.25">
      <c r="C6" s="202"/>
      <c r="D6" s="201"/>
    </row>
    <row r="7" spans="3:4" ht="25" customHeight="1" x14ac:dyDescent="0.25">
      <c r="C7" s="210" t="s">
        <v>164</v>
      </c>
      <c r="D7" s="203"/>
    </row>
    <row r="8" spans="3:4" ht="25" customHeight="1" x14ac:dyDescent="0.25">
      <c r="C8" s="204" t="s">
        <v>165</v>
      </c>
      <c r="D8" s="262">
        <v>2</v>
      </c>
    </row>
    <row r="9" spans="3:4" ht="25" customHeight="1" x14ac:dyDescent="0.25">
      <c r="C9" s="204" t="s">
        <v>166</v>
      </c>
      <c r="D9" s="262">
        <v>2</v>
      </c>
    </row>
    <row r="10" spans="3:4" ht="25" customHeight="1" x14ac:dyDescent="0.25">
      <c r="C10" s="205"/>
      <c r="D10" s="203"/>
    </row>
    <row r="11" spans="3:4" ht="25" customHeight="1" x14ac:dyDescent="0.25">
      <c r="C11" s="200" t="s">
        <v>167</v>
      </c>
      <c r="D11" s="201"/>
    </row>
    <row r="12" spans="3:4" ht="25" customHeight="1" x14ac:dyDescent="0.25">
      <c r="C12" s="204" t="s">
        <v>168</v>
      </c>
      <c r="D12" s="262">
        <v>2</v>
      </c>
    </row>
    <row r="13" spans="3:4" ht="25" customHeight="1" x14ac:dyDescent="0.25">
      <c r="C13" s="204" t="s">
        <v>169</v>
      </c>
      <c r="D13" s="262">
        <v>2</v>
      </c>
    </row>
    <row r="14" spans="3:4" ht="25" customHeight="1" x14ac:dyDescent="0.25">
      <c r="C14" s="204" t="s">
        <v>170</v>
      </c>
      <c r="D14" s="262">
        <v>2</v>
      </c>
    </row>
    <row r="15" spans="3:4" ht="25" customHeight="1" x14ac:dyDescent="0.25">
      <c r="C15" s="204" t="s">
        <v>171</v>
      </c>
      <c r="D15" s="262">
        <v>2</v>
      </c>
    </row>
    <row r="16" spans="3:4" ht="25" customHeight="1" x14ac:dyDescent="0.25">
      <c r="C16" s="204" t="s">
        <v>172</v>
      </c>
      <c r="D16" s="262">
        <v>1</v>
      </c>
    </row>
    <row r="17" spans="3:4" ht="25" customHeight="1" x14ac:dyDescent="0.25">
      <c r="C17" s="204" t="s">
        <v>173</v>
      </c>
      <c r="D17" s="262">
        <v>1</v>
      </c>
    </row>
    <row r="18" spans="3:4" ht="25" customHeight="1" x14ac:dyDescent="0.25">
      <c r="C18" s="205"/>
      <c r="D18" s="203"/>
    </row>
    <row r="19" spans="3:4" ht="25" customHeight="1" x14ac:dyDescent="0.25">
      <c r="C19" s="211" t="s">
        <v>174</v>
      </c>
      <c r="D19" s="203"/>
    </row>
    <row r="20" spans="3:4" ht="52" customHeight="1" x14ac:dyDescent="0.25">
      <c r="C20" s="204" t="s">
        <v>175</v>
      </c>
      <c r="D20" s="207">
        <v>4</v>
      </c>
    </row>
    <row r="21" spans="3:4" ht="21" customHeight="1" x14ac:dyDescent="0.25">
      <c r="C21" s="206"/>
      <c r="D21" s="207"/>
    </row>
    <row r="22" spans="3:4" ht="21" customHeight="1" x14ac:dyDescent="0.25">
      <c r="C22" s="200" t="s">
        <v>176</v>
      </c>
      <c r="D22" s="207"/>
    </row>
    <row r="23" spans="3:4" ht="21" customHeight="1" x14ac:dyDescent="0.25">
      <c r="C23" s="204" t="s">
        <v>177</v>
      </c>
      <c r="D23" s="203">
        <v>3</v>
      </c>
    </row>
    <row r="24" spans="3:4" ht="21" customHeight="1" x14ac:dyDescent="0.25">
      <c r="C24" s="200"/>
      <c r="D24" s="207"/>
    </row>
    <row r="25" spans="3:4" ht="36" customHeight="1" x14ac:dyDescent="0.25">
      <c r="C25" s="216" t="s">
        <v>178</v>
      </c>
      <c r="D25" s="207"/>
    </row>
    <row r="26" spans="3:4" x14ac:dyDescent="0.25">
      <c r="C26" s="200" t="s">
        <v>126</v>
      </c>
      <c r="D26" s="203"/>
    </row>
    <row r="27" spans="3:4" ht="40" customHeight="1" x14ac:dyDescent="0.25">
      <c r="C27" s="204" t="s">
        <v>179</v>
      </c>
      <c r="D27" s="265"/>
    </row>
    <row r="28" spans="3:4" ht="26" customHeight="1" x14ac:dyDescent="0.25">
      <c r="C28" s="204" t="s">
        <v>180</v>
      </c>
      <c r="D28" s="262">
        <v>4</v>
      </c>
    </row>
    <row r="29" spans="3:4" ht="26" customHeight="1" x14ac:dyDescent="0.25">
      <c r="C29" s="205"/>
      <c r="D29" s="207"/>
    </row>
    <row r="30" spans="3:4" ht="26" customHeight="1" x14ac:dyDescent="0.25">
      <c r="C30" s="200" t="s">
        <v>181</v>
      </c>
      <c r="D30" s="207"/>
    </row>
    <row r="31" spans="3:4" ht="26" customHeight="1" x14ac:dyDescent="0.25">
      <c r="C31" s="212" t="s">
        <v>182</v>
      </c>
      <c r="D31" s="262">
        <v>35</v>
      </c>
    </row>
    <row r="32" spans="3:4" ht="44" customHeight="1" x14ac:dyDescent="0.25">
      <c r="C32" s="204" t="s">
        <v>183</v>
      </c>
      <c r="D32" s="262">
        <v>10</v>
      </c>
    </row>
    <row r="33" spans="3:4" ht="42" customHeight="1" x14ac:dyDescent="0.25">
      <c r="C33" s="204" t="s">
        <v>184</v>
      </c>
      <c r="D33" s="203"/>
    </row>
    <row r="34" spans="3:4" ht="26" customHeight="1" x14ac:dyDescent="0.25">
      <c r="C34" s="212" t="s">
        <v>185</v>
      </c>
      <c r="D34" s="203"/>
    </row>
    <row r="35" spans="3:4" ht="26" customHeight="1" x14ac:dyDescent="0.25">
      <c r="C35" s="212"/>
      <c r="D35" s="207"/>
    </row>
    <row r="36" spans="3:4" ht="26" customHeight="1" x14ac:dyDescent="0.25">
      <c r="C36" s="200" t="s">
        <v>186</v>
      </c>
      <c r="D36" s="207"/>
    </row>
    <row r="37" spans="3:4" ht="26" customHeight="1" x14ac:dyDescent="0.25">
      <c r="C37" s="204" t="s">
        <v>187</v>
      </c>
      <c r="D37" s="262">
        <v>10</v>
      </c>
    </row>
    <row r="38" spans="3:4" ht="40" customHeight="1" x14ac:dyDescent="0.25">
      <c r="C38" s="204" t="s">
        <v>188</v>
      </c>
      <c r="D38" s="262">
        <v>6</v>
      </c>
    </row>
    <row r="39" spans="3:4" ht="25" customHeight="1" x14ac:dyDescent="0.25">
      <c r="C39" s="205"/>
      <c r="D39" s="203"/>
    </row>
    <row r="40" spans="3:4" ht="29" customHeight="1" x14ac:dyDescent="0.25">
      <c r="C40" s="216" t="s">
        <v>189</v>
      </c>
      <c r="D40" s="207"/>
    </row>
    <row r="41" spans="3:4" ht="25" customHeight="1" x14ac:dyDescent="0.25">
      <c r="C41" s="211" t="s">
        <v>190</v>
      </c>
      <c r="D41" s="203"/>
    </row>
    <row r="42" spans="3:4" ht="37" customHeight="1" x14ac:dyDescent="0.25">
      <c r="C42" s="204" t="s">
        <v>191</v>
      </c>
      <c r="D42" s="264">
        <v>10</v>
      </c>
    </row>
    <row r="43" spans="3:4" ht="37" customHeight="1" x14ac:dyDescent="0.25">
      <c r="C43" s="204" t="s">
        <v>192</v>
      </c>
      <c r="D43" s="203"/>
    </row>
    <row r="44" spans="3:4" ht="37" customHeight="1" x14ac:dyDescent="0.25">
      <c r="C44" s="205"/>
      <c r="D44" s="207"/>
    </row>
    <row r="45" spans="3:4" ht="37" customHeight="1" x14ac:dyDescent="0.25">
      <c r="C45" s="211" t="s">
        <v>193</v>
      </c>
      <c r="D45" s="207"/>
    </row>
    <row r="46" spans="3:4" ht="37" customHeight="1" x14ac:dyDescent="0.25">
      <c r="C46" s="204" t="s">
        <v>194</v>
      </c>
      <c r="D46" s="262">
        <v>4</v>
      </c>
    </row>
    <row r="47" spans="3:4" ht="24" customHeight="1" x14ac:dyDescent="0.25">
      <c r="C47" s="205"/>
      <c r="D47" s="207"/>
    </row>
    <row r="48" spans="3:4" ht="24" customHeight="1" x14ac:dyDescent="0.25">
      <c r="C48" s="211" t="s">
        <v>195</v>
      </c>
      <c r="D48" s="207"/>
    </row>
    <row r="49" spans="3:4" ht="79" customHeight="1" x14ac:dyDescent="0.25">
      <c r="C49" s="204" t="s">
        <v>196</v>
      </c>
      <c r="D49" s="262">
        <v>15</v>
      </c>
    </row>
    <row r="50" spans="3:4" ht="60" customHeight="1" x14ac:dyDescent="0.25">
      <c r="C50" s="212" t="s">
        <v>197</v>
      </c>
      <c r="D50" s="262">
        <v>10</v>
      </c>
    </row>
    <row r="51" spans="3:4" ht="37" customHeight="1" x14ac:dyDescent="0.25">
      <c r="C51" s="204" t="s">
        <v>198</v>
      </c>
      <c r="D51" s="262">
        <v>30</v>
      </c>
    </row>
    <row r="52" spans="3:4" ht="37" customHeight="1" x14ac:dyDescent="0.25">
      <c r="C52" s="204" t="s">
        <v>199</v>
      </c>
      <c r="D52" s="203"/>
    </row>
    <row r="53" spans="3:4" ht="47" customHeight="1" x14ac:dyDescent="0.25">
      <c r="C53" s="204" t="s">
        <v>200</v>
      </c>
      <c r="D53" s="262">
        <v>1</v>
      </c>
    </row>
    <row r="54" spans="3:4" ht="37" customHeight="1" x14ac:dyDescent="0.25">
      <c r="C54" s="212" t="s">
        <v>201</v>
      </c>
      <c r="D54" s="263">
        <v>6</v>
      </c>
    </row>
    <row r="55" spans="3:4" x14ac:dyDescent="0.25">
      <c r="C55" s="212"/>
      <c r="D55" s="207"/>
    </row>
    <row r="56" spans="3:4" x14ac:dyDescent="0.25">
      <c r="C56" s="205"/>
      <c r="D56" s="203"/>
    </row>
    <row r="57" spans="3:4" x14ac:dyDescent="0.25">
      <c r="C57" s="205"/>
      <c r="D57" s="203"/>
    </row>
    <row r="58" spans="3:4" x14ac:dyDescent="0.25">
      <c r="C58" s="205"/>
      <c r="D58" s="203"/>
    </row>
    <row r="59" spans="3:4" x14ac:dyDescent="0.25">
      <c r="C59" s="333"/>
      <c r="D59" s="334"/>
    </row>
    <row r="60" spans="3:4" x14ac:dyDescent="0.25">
      <c r="C60" s="333"/>
      <c r="D60" s="334"/>
    </row>
    <row r="61" spans="3:4" x14ac:dyDescent="0.25">
      <c r="C61" s="333"/>
      <c r="D61" s="334"/>
    </row>
    <row r="62" spans="3:4" x14ac:dyDescent="0.25">
      <c r="C62" s="335"/>
      <c r="D62" s="334"/>
    </row>
    <row r="63" spans="3:4" ht="13" thickBot="1" x14ac:dyDescent="0.3">
      <c r="C63" s="336"/>
      <c r="D63" s="337"/>
    </row>
    <row r="64" spans="3:4" ht="13" thickTop="1" x14ac:dyDescent="0.25"/>
  </sheetData>
  <mergeCells count="4">
    <mergeCell ref="C59:C61"/>
    <mergeCell ref="D59:D61"/>
    <mergeCell ref="C62:C63"/>
    <mergeCell ref="D62:D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1"/>
  <sheetViews>
    <sheetView topLeftCell="A64" workbookViewId="0">
      <selection activeCell="C87" sqref="C87"/>
    </sheetView>
  </sheetViews>
  <sheetFormatPr defaultColWidth="8.81640625" defaultRowHeight="12.5" x14ac:dyDescent="0.25"/>
  <cols>
    <col min="1" max="1" width="14.453125" customWidth="1"/>
    <col min="2" max="2" width="23.1796875" bestFit="1" customWidth="1"/>
    <col min="3" max="14" width="12.453125" customWidth="1"/>
    <col min="16" max="17" width="11.1796875" bestFit="1" customWidth="1"/>
    <col min="19" max="19" width="10.1796875" bestFit="1" customWidth="1"/>
  </cols>
  <sheetData>
    <row r="1" spans="2:18" x14ac:dyDescent="0.25">
      <c r="Q1" s="91" t="s">
        <v>249</v>
      </c>
      <c r="R1">
        <f>540</f>
        <v>540</v>
      </c>
    </row>
    <row r="2" spans="2:18" ht="13" x14ac:dyDescent="0.3">
      <c r="B2" s="28" t="s">
        <v>22</v>
      </c>
      <c r="C2" s="28" t="s">
        <v>92</v>
      </c>
      <c r="D2" s="28" t="s">
        <v>93</v>
      </c>
      <c r="E2" s="28" t="s">
        <v>94</v>
      </c>
      <c r="F2" s="28" t="s">
        <v>95</v>
      </c>
      <c r="G2" s="28" t="s">
        <v>96</v>
      </c>
      <c r="H2" s="28" t="s">
        <v>97</v>
      </c>
      <c r="I2" s="28" t="s">
        <v>98</v>
      </c>
      <c r="J2" s="28" t="s">
        <v>99</v>
      </c>
      <c r="K2" s="28" t="s">
        <v>100</v>
      </c>
      <c r="L2" s="28" t="s">
        <v>101</v>
      </c>
      <c r="M2" s="28" t="s">
        <v>102</v>
      </c>
      <c r="N2" s="28" t="s">
        <v>103</v>
      </c>
      <c r="P2" s="28" t="s">
        <v>248</v>
      </c>
      <c r="Q2" s="28" t="s">
        <v>247</v>
      </c>
    </row>
    <row r="3" spans="2:18" x14ac:dyDescent="0.25">
      <c r="B3" s="91"/>
      <c r="C3" s="111">
        <v>1748156</v>
      </c>
      <c r="D3" s="111">
        <v>1064780</v>
      </c>
      <c r="E3" s="111">
        <v>932688</v>
      </c>
      <c r="F3" s="111">
        <v>922012</v>
      </c>
      <c r="G3" s="111">
        <v>1167300</v>
      </c>
      <c r="H3" s="111">
        <v>1252574</v>
      </c>
      <c r="I3" s="111">
        <v>1227286</v>
      </c>
      <c r="J3" s="111">
        <v>1516689</v>
      </c>
      <c r="K3" s="111">
        <v>1748238</v>
      </c>
      <c r="L3" s="111">
        <v>1885874</v>
      </c>
      <c r="M3" s="111">
        <v>2004798</v>
      </c>
      <c r="N3" s="111">
        <v>1930814</v>
      </c>
      <c r="P3" s="112">
        <f>AVERAGE(C3:N3)</f>
        <v>1450100.75</v>
      </c>
      <c r="Q3" s="112">
        <f>P3/$R$1</f>
        <v>2685.3717592592593</v>
      </c>
    </row>
    <row r="4" spans="2:18" x14ac:dyDescent="0.25">
      <c r="Q4" s="112"/>
    </row>
    <row r="5" spans="2:18" x14ac:dyDescent="0.25">
      <c r="Q5" s="112"/>
    </row>
    <row r="6" spans="2:18" ht="13" x14ac:dyDescent="0.3">
      <c r="B6" s="28" t="s">
        <v>23</v>
      </c>
      <c r="C6" s="28" t="s">
        <v>92</v>
      </c>
      <c r="D6" s="28" t="s">
        <v>93</v>
      </c>
      <c r="E6" s="28" t="s">
        <v>94</v>
      </c>
      <c r="F6" s="28" t="s">
        <v>95</v>
      </c>
      <c r="G6" s="28" t="s">
        <v>96</v>
      </c>
      <c r="H6" s="28" t="s">
        <v>97</v>
      </c>
      <c r="I6" s="28" t="s">
        <v>98</v>
      </c>
      <c r="J6" s="28" t="s">
        <v>99</v>
      </c>
      <c r="K6" s="28" t="s">
        <v>100</v>
      </c>
      <c r="L6" s="28" t="s">
        <v>101</v>
      </c>
      <c r="M6" s="28" t="s">
        <v>102</v>
      </c>
      <c r="N6" s="28" t="s">
        <v>103</v>
      </c>
      <c r="Q6" s="112"/>
    </row>
    <row r="7" spans="2:18" x14ac:dyDescent="0.25">
      <c r="B7" s="91"/>
      <c r="C7" s="111">
        <v>219077</v>
      </c>
      <c r="D7" s="111">
        <v>184800</v>
      </c>
      <c r="E7" s="111">
        <v>193742</v>
      </c>
      <c r="F7" s="111">
        <v>204919</v>
      </c>
      <c r="G7" s="111">
        <v>188524</v>
      </c>
      <c r="H7" s="111">
        <v>263040</v>
      </c>
      <c r="I7" s="111">
        <v>338303</v>
      </c>
      <c r="J7" s="111">
        <v>223548</v>
      </c>
      <c r="K7" s="111">
        <v>58123</v>
      </c>
      <c r="L7" s="111">
        <v>230255</v>
      </c>
      <c r="M7" s="111">
        <v>570793</v>
      </c>
      <c r="N7" s="111">
        <v>271983</v>
      </c>
      <c r="P7" s="112">
        <f>AVERAGE(C7:N7)</f>
        <v>245592.25</v>
      </c>
      <c r="Q7" s="112">
        <f>P7/$R$1</f>
        <v>454.80046296296297</v>
      </c>
    </row>
    <row r="8" spans="2:18" x14ac:dyDescent="0.25">
      <c r="Q8" s="112"/>
    </row>
    <row r="9" spans="2:18" x14ac:dyDescent="0.25">
      <c r="Q9" s="112"/>
    </row>
    <row r="10" spans="2:18" ht="13" x14ac:dyDescent="0.3">
      <c r="B10" s="28" t="s">
        <v>104</v>
      </c>
      <c r="C10" s="28" t="s">
        <v>92</v>
      </c>
      <c r="D10" s="28" t="s">
        <v>93</v>
      </c>
      <c r="E10" s="28" t="s">
        <v>94</v>
      </c>
      <c r="F10" s="28" t="s">
        <v>95</v>
      </c>
      <c r="G10" s="28" t="s">
        <v>96</v>
      </c>
      <c r="H10" s="28" t="s">
        <v>97</v>
      </c>
      <c r="I10" s="28" t="s">
        <v>98</v>
      </c>
      <c r="J10" s="28" t="s">
        <v>99</v>
      </c>
      <c r="K10" s="28" t="s">
        <v>100</v>
      </c>
      <c r="L10" s="28" t="s">
        <v>101</v>
      </c>
      <c r="M10" s="28" t="s">
        <v>102</v>
      </c>
      <c r="N10" s="28" t="s">
        <v>103</v>
      </c>
      <c r="Q10" s="112"/>
    </row>
    <row r="11" spans="2:18" x14ac:dyDescent="0.25">
      <c r="C11" s="111">
        <v>451056</v>
      </c>
      <c r="D11" s="111">
        <v>451056</v>
      </c>
      <c r="E11" s="111">
        <v>451056</v>
      </c>
      <c r="F11" s="111">
        <v>451056</v>
      </c>
      <c r="G11" s="111">
        <v>451056</v>
      </c>
      <c r="H11" s="111">
        <v>451056</v>
      </c>
      <c r="I11" s="111">
        <v>451056</v>
      </c>
      <c r="J11" s="111">
        <v>451056</v>
      </c>
      <c r="K11" s="111">
        <v>451056</v>
      </c>
      <c r="L11" s="111">
        <v>451056</v>
      </c>
      <c r="M11" s="111">
        <v>451056</v>
      </c>
      <c r="N11" s="111">
        <v>451056</v>
      </c>
      <c r="P11" s="112">
        <f>AVERAGE(C11:N11)</f>
        <v>451056</v>
      </c>
      <c r="Q11" s="112">
        <f>P11/$R$1</f>
        <v>835.28888888888889</v>
      </c>
    </row>
    <row r="12" spans="2:18" x14ac:dyDescent="0.25">
      <c r="Q12" s="112"/>
    </row>
    <row r="13" spans="2:18" x14ac:dyDescent="0.25">
      <c r="Q13" s="112"/>
    </row>
    <row r="14" spans="2:18" ht="13" x14ac:dyDescent="0.3">
      <c r="B14" s="28" t="s">
        <v>105</v>
      </c>
      <c r="C14" s="28" t="s">
        <v>92</v>
      </c>
      <c r="D14" s="28" t="s">
        <v>93</v>
      </c>
      <c r="E14" s="28" t="s">
        <v>94</v>
      </c>
      <c r="F14" s="28" t="s">
        <v>95</v>
      </c>
      <c r="G14" s="28" t="s">
        <v>96</v>
      </c>
      <c r="H14" s="28" t="s">
        <v>97</v>
      </c>
      <c r="I14" s="28" t="s">
        <v>98</v>
      </c>
      <c r="J14" s="28" t="s">
        <v>99</v>
      </c>
      <c r="K14" s="28" t="s">
        <v>100</v>
      </c>
      <c r="L14" s="28" t="s">
        <v>101</v>
      </c>
      <c r="M14" s="28" t="s">
        <v>102</v>
      </c>
      <c r="N14" s="28" t="s">
        <v>103</v>
      </c>
      <c r="O14" s="28"/>
      <c r="Q14" s="112"/>
    </row>
    <row r="15" spans="2:18" x14ac:dyDescent="0.25">
      <c r="C15" s="111">
        <v>1212625</v>
      </c>
      <c r="D15" s="111">
        <v>1212625</v>
      </c>
      <c r="E15" s="111">
        <v>1212625</v>
      </c>
      <c r="F15" s="111">
        <v>1212625</v>
      </c>
      <c r="G15" s="111">
        <v>3124776</v>
      </c>
      <c r="H15" s="111">
        <v>1212625</v>
      </c>
      <c r="I15" s="111">
        <v>1212625</v>
      </c>
      <c r="J15" s="111">
        <v>1212625</v>
      </c>
      <c r="K15" s="111">
        <v>1212625</v>
      </c>
      <c r="L15" s="111">
        <v>1212625</v>
      </c>
      <c r="M15" s="111">
        <v>1212625</v>
      </c>
      <c r="N15" s="111">
        <v>1212625</v>
      </c>
      <c r="O15" s="112"/>
      <c r="P15" s="112">
        <f>AVERAGE(C15:N15)</f>
        <v>1371970.9166666667</v>
      </c>
      <c r="Q15" s="112">
        <f>P15/$R$1</f>
        <v>2540.6868827160497</v>
      </c>
    </row>
    <row r="16" spans="2:18" x14ac:dyDescent="0.25">
      <c r="Q16" s="112"/>
    </row>
    <row r="17" spans="2:19" x14ac:dyDescent="0.25">
      <c r="Q17" s="112"/>
    </row>
    <row r="18" spans="2:19" ht="13" x14ac:dyDescent="0.3">
      <c r="B18" s="28" t="s">
        <v>106</v>
      </c>
      <c r="C18" s="28" t="s">
        <v>92</v>
      </c>
      <c r="D18" s="28" t="s">
        <v>93</v>
      </c>
      <c r="E18" s="28" t="s">
        <v>94</v>
      </c>
      <c r="F18" s="28" t="s">
        <v>95</v>
      </c>
      <c r="G18" s="28" t="s">
        <v>96</v>
      </c>
      <c r="H18" s="28" t="s">
        <v>97</v>
      </c>
      <c r="I18" s="28" t="s">
        <v>98</v>
      </c>
      <c r="J18" s="28" t="s">
        <v>99</v>
      </c>
      <c r="K18" s="28" t="s">
        <v>100</v>
      </c>
      <c r="L18" s="28" t="s">
        <v>101</v>
      </c>
      <c r="M18" s="28" t="s">
        <v>102</v>
      </c>
      <c r="N18" s="28" t="s">
        <v>103</v>
      </c>
      <c r="Q18" s="112"/>
    </row>
    <row r="19" spans="2:19" x14ac:dyDescent="0.25">
      <c r="C19" s="111">
        <f>770811</f>
        <v>770811</v>
      </c>
      <c r="D19" s="111">
        <f t="shared" ref="D19:N19" si="0">770811</f>
        <v>770811</v>
      </c>
      <c r="E19" s="111">
        <f t="shared" si="0"/>
        <v>770811</v>
      </c>
      <c r="F19" s="111">
        <f t="shared" si="0"/>
        <v>770811</v>
      </c>
      <c r="G19" s="111">
        <f t="shared" si="0"/>
        <v>770811</v>
      </c>
      <c r="H19" s="111">
        <f t="shared" si="0"/>
        <v>770811</v>
      </c>
      <c r="I19" s="111">
        <f t="shared" si="0"/>
        <v>770811</v>
      </c>
      <c r="J19" s="111">
        <f t="shared" si="0"/>
        <v>770811</v>
      </c>
      <c r="K19" s="111">
        <f t="shared" si="0"/>
        <v>770811</v>
      </c>
      <c r="L19" s="111">
        <f t="shared" si="0"/>
        <v>770811</v>
      </c>
      <c r="M19" s="111">
        <f t="shared" si="0"/>
        <v>770811</v>
      </c>
      <c r="N19" s="111">
        <f t="shared" si="0"/>
        <v>770811</v>
      </c>
      <c r="O19" s="113"/>
      <c r="P19" s="112">
        <f>AVERAGE(C19:N19)</f>
        <v>770811</v>
      </c>
      <c r="Q19" s="112">
        <f>P19/$R$1</f>
        <v>1427.4277777777777</v>
      </c>
      <c r="S19" s="113"/>
    </row>
    <row r="20" spans="2:19" x14ac:dyDescent="0.25">
      <c r="Q20" s="112"/>
    </row>
    <row r="21" spans="2:19" ht="13" x14ac:dyDescent="0.3">
      <c r="B21" s="28" t="s">
        <v>202</v>
      </c>
      <c r="C21" s="28" t="s">
        <v>92</v>
      </c>
      <c r="D21" s="28" t="s">
        <v>93</v>
      </c>
      <c r="E21" s="28" t="s">
        <v>94</v>
      </c>
      <c r="F21" s="28" t="s">
        <v>95</v>
      </c>
      <c r="G21" s="28" t="s">
        <v>96</v>
      </c>
      <c r="H21" s="28" t="s">
        <v>97</v>
      </c>
      <c r="I21" s="28" t="s">
        <v>98</v>
      </c>
      <c r="J21" s="28" t="s">
        <v>99</v>
      </c>
      <c r="K21" s="28" t="s">
        <v>100</v>
      </c>
      <c r="L21" s="28" t="s">
        <v>101</v>
      </c>
      <c r="M21" s="28" t="s">
        <v>102</v>
      </c>
      <c r="N21" s="28" t="s">
        <v>103</v>
      </c>
      <c r="Q21" s="112"/>
    </row>
    <row r="22" spans="2:19" x14ac:dyDescent="0.25">
      <c r="B22" s="91" t="s">
        <v>203</v>
      </c>
      <c r="C22" s="111">
        <v>197700</v>
      </c>
      <c r="D22" s="111">
        <v>119600</v>
      </c>
      <c r="E22" s="111">
        <v>158300</v>
      </c>
      <c r="F22" s="111">
        <v>187300</v>
      </c>
      <c r="G22" s="111">
        <v>114500</v>
      </c>
      <c r="H22" s="111">
        <v>130900</v>
      </c>
      <c r="I22" s="111">
        <v>103900</v>
      </c>
      <c r="J22" s="111">
        <v>307400</v>
      </c>
      <c r="K22" s="111">
        <v>132900</v>
      </c>
      <c r="L22" s="111">
        <v>145600</v>
      </c>
      <c r="M22" s="111">
        <v>222600</v>
      </c>
      <c r="N22" s="111">
        <v>169100</v>
      </c>
      <c r="P22" s="112">
        <f>AVERAGE(C22:N22)</f>
        <v>165816.66666666666</v>
      </c>
      <c r="Q22" s="112">
        <f>P22/$R$1</f>
        <v>307.0679012345679</v>
      </c>
    </row>
    <row r="23" spans="2:19" x14ac:dyDescent="0.25">
      <c r="B23" s="91" t="s">
        <v>204</v>
      </c>
      <c r="C23" s="111">
        <v>1855600</v>
      </c>
      <c r="D23" s="111">
        <v>1878200</v>
      </c>
      <c r="E23" s="111">
        <v>1940300</v>
      </c>
      <c r="F23" s="111">
        <v>1976400</v>
      </c>
      <c r="G23" s="111">
        <v>1933100</v>
      </c>
      <c r="H23" s="111">
        <v>2028399</v>
      </c>
      <c r="I23" s="111">
        <v>2082800</v>
      </c>
      <c r="J23" s="111">
        <v>2478400</v>
      </c>
      <c r="K23" s="111">
        <v>2465501</v>
      </c>
      <c r="L23" s="111">
        <v>4266370</v>
      </c>
      <c r="M23" s="111">
        <v>2416200</v>
      </c>
      <c r="N23" s="111">
        <v>2503700</v>
      </c>
      <c r="P23" s="112">
        <f>AVERAGE(C23:N23)</f>
        <v>2318747.5</v>
      </c>
      <c r="Q23" s="112">
        <f>P23/$R$1</f>
        <v>4293.9768518518522</v>
      </c>
    </row>
    <row r="24" spans="2:19" x14ac:dyDescent="0.25">
      <c r="Q24" s="113"/>
    </row>
    <row r="25" spans="2:19" ht="13" x14ac:dyDescent="0.3">
      <c r="B25" s="28" t="s">
        <v>216</v>
      </c>
      <c r="C25" s="28" t="s">
        <v>92</v>
      </c>
      <c r="D25" s="28" t="s">
        <v>93</v>
      </c>
      <c r="E25" s="28" t="s">
        <v>94</v>
      </c>
      <c r="F25" s="28" t="s">
        <v>95</v>
      </c>
      <c r="G25" s="28" t="s">
        <v>96</v>
      </c>
      <c r="H25" s="28" t="s">
        <v>97</v>
      </c>
      <c r="I25" s="28" t="s">
        <v>98</v>
      </c>
      <c r="J25" s="28" t="s">
        <v>99</v>
      </c>
      <c r="K25" s="28" t="s">
        <v>100</v>
      </c>
      <c r="L25" s="28" t="s">
        <v>101</v>
      </c>
      <c r="M25" s="28" t="s">
        <v>102</v>
      </c>
      <c r="N25" s="28" t="s">
        <v>103</v>
      </c>
    </row>
    <row r="26" spans="2:19" x14ac:dyDescent="0.25">
      <c r="C26" s="111">
        <v>42000</v>
      </c>
      <c r="D26" s="111"/>
      <c r="E26" s="111">
        <v>1321545</v>
      </c>
      <c r="F26" s="111"/>
      <c r="G26" s="111">
        <v>319860</v>
      </c>
      <c r="H26" s="111">
        <v>178800</v>
      </c>
      <c r="I26" s="111">
        <v>2064908</v>
      </c>
      <c r="J26" s="111"/>
      <c r="K26" s="111"/>
      <c r="L26" s="111"/>
      <c r="M26" s="111">
        <f>128000+309500</f>
        <v>437500</v>
      </c>
      <c r="N26" s="111"/>
      <c r="P26" s="112">
        <f>SUM(C26:M26)</f>
        <v>4364613</v>
      </c>
      <c r="Q26" s="113">
        <f>$P$26/$R$1</f>
        <v>8082.6166666666668</v>
      </c>
    </row>
    <row r="27" spans="2:19" x14ac:dyDescent="0.25">
      <c r="C27" s="111"/>
      <c r="D27" s="111"/>
      <c r="E27" s="111"/>
      <c r="F27" s="111"/>
      <c r="G27" s="111"/>
      <c r="H27" s="111"/>
      <c r="I27" s="111"/>
      <c r="J27" s="111"/>
      <c r="K27" s="111"/>
      <c r="L27" s="111"/>
      <c r="M27" s="111"/>
      <c r="N27" s="111"/>
    </row>
    <row r="28" spans="2:19" ht="13" x14ac:dyDescent="0.3">
      <c r="B28" s="28" t="s">
        <v>217</v>
      </c>
      <c r="C28" s="28" t="s">
        <v>92</v>
      </c>
      <c r="D28" s="28" t="s">
        <v>93</v>
      </c>
      <c r="E28" s="28" t="s">
        <v>94</v>
      </c>
      <c r="F28" s="28" t="s">
        <v>95</v>
      </c>
      <c r="G28" s="28" t="s">
        <v>96</v>
      </c>
      <c r="H28" s="28" t="s">
        <v>97</v>
      </c>
      <c r="I28" s="28" t="s">
        <v>98</v>
      </c>
      <c r="J28" s="28" t="s">
        <v>99</v>
      </c>
      <c r="K28" s="28" t="s">
        <v>100</v>
      </c>
      <c r="L28" s="28" t="s">
        <v>101</v>
      </c>
      <c r="M28" s="28" t="s">
        <v>102</v>
      </c>
      <c r="N28" s="28" t="s">
        <v>103</v>
      </c>
    </row>
    <row r="29" spans="2:19" x14ac:dyDescent="0.25">
      <c r="B29" s="195"/>
      <c r="C29" s="111"/>
      <c r="D29" s="111"/>
      <c r="E29" s="111"/>
      <c r="F29" s="111">
        <v>2402033</v>
      </c>
      <c r="G29" s="111"/>
      <c r="H29" s="111">
        <v>2927500</v>
      </c>
      <c r="I29" s="111">
        <v>11567041</v>
      </c>
      <c r="J29" s="111">
        <v>13539800</v>
      </c>
      <c r="K29" s="111">
        <v>1473097</v>
      </c>
      <c r="L29" s="111">
        <v>3960507</v>
      </c>
      <c r="M29" s="111">
        <v>6075936</v>
      </c>
      <c r="N29" s="111">
        <v>8234940</v>
      </c>
      <c r="P29" s="112">
        <f>SUM(F29:N29)</f>
        <v>50180854</v>
      </c>
      <c r="Q29" s="113">
        <f>$P$29/$R$1</f>
        <v>92927.507407407407</v>
      </c>
    </row>
    <row r="30" spans="2:19" x14ac:dyDescent="0.25">
      <c r="B30" s="195"/>
    </row>
    <row r="35" spans="2:8" ht="13" x14ac:dyDescent="0.3">
      <c r="B35" s="28" t="s">
        <v>238</v>
      </c>
      <c r="C35" s="255">
        <v>2018</v>
      </c>
      <c r="D35" s="255">
        <v>2018</v>
      </c>
      <c r="E35" s="221">
        <v>2020</v>
      </c>
      <c r="F35" s="221">
        <v>2020</v>
      </c>
    </row>
    <row r="36" spans="2:8" x14ac:dyDescent="0.25">
      <c r="B36" t="s">
        <v>239</v>
      </c>
      <c r="C36" s="256">
        <f>283500</f>
        <v>283500</v>
      </c>
      <c r="D36" s="256">
        <f>205000</f>
        <v>205000</v>
      </c>
      <c r="E36" s="111">
        <f>283500*1.05</f>
        <v>297675</v>
      </c>
      <c r="F36" s="111">
        <f>205000*1.05</f>
        <v>215250</v>
      </c>
    </row>
    <row r="37" spans="2:8" x14ac:dyDescent="0.25">
      <c r="B37" t="s">
        <v>240</v>
      </c>
      <c r="C37" s="256">
        <v>251500</v>
      </c>
      <c r="D37" s="256">
        <f>109000*2</f>
        <v>218000</v>
      </c>
      <c r="E37" s="111">
        <f>251500*1.05</f>
        <v>264075</v>
      </c>
      <c r="F37" s="111">
        <f>218000*1.05</f>
        <v>228900</v>
      </c>
    </row>
    <row r="38" spans="2:8" x14ac:dyDescent="0.25">
      <c r="B38" s="91" t="s">
        <v>242</v>
      </c>
      <c r="C38" s="256">
        <f>215400*(9/12)</f>
        <v>161550</v>
      </c>
      <c r="D38" s="256">
        <f>157000*(9/12)</f>
        <v>117750</v>
      </c>
      <c r="E38" s="111">
        <f>215400*1.05</f>
        <v>226170</v>
      </c>
      <c r="F38" s="111">
        <f>180000*1.05</f>
        <v>189000</v>
      </c>
    </row>
    <row r="39" spans="2:8" x14ac:dyDescent="0.25">
      <c r="B39" t="s">
        <v>241</v>
      </c>
      <c r="C39" s="256">
        <f>180600*(4/12)-150</f>
        <v>60050</v>
      </c>
      <c r="D39" s="256">
        <f>(78600*2)*(4/12)</f>
        <v>52400</v>
      </c>
      <c r="E39" s="111">
        <f>180600*1.05*0.75</f>
        <v>142222.5</v>
      </c>
      <c r="F39" s="111">
        <f>140000*1.05*0.75</f>
        <v>110250</v>
      </c>
    </row>
    <row r="40" spans="2:8" x14ac:dyDescent="0.25">
      <c r="C40" s="257"/>
      <c r="D40" s="257"/>
      <c r="E40" s="220"/>
    </row>
    <row r="41" spans="2:8" ht="13" x14ac:dyDescent="0.3">
      <c r="B41" s="28" t="s">
        <v>79</v>
      </c>
      <c r="C41" s="258">
        <f>SUM(C36:C40)</f>
        <v>756600</v>
      </c>
      <c r="D41" s="258">
        <f>SUM(D36:D40)</f>
        <v>593150</v>
      </c>
      <c r="E41" s="222">
        <f>SUM(E36:E40)</f>
        <v>930142.5</v>
      </c>
      <c r="F41" s="222">
        <f>SUM(F36:F40)</f>
        <v>743400</v>
      </c>
    </row>
    <row r="42" spans="2:8" x14ac:dyDescent="0.25">
      <c r="C42" s="257"/>
      <c r="D42" s="259">
        <f>C41-D41</f>
        <v>163450</v>
      </c>
      <c r="F42" s="260">
        <f>E41-F41</f>
        <v>186742.5</v>
      </c>
    </row>
    <row r="43" spans="2:8" x14ac:dyDescent="0.25">
      <c r="D43" s="112"/>
    </row>
    <row r="44" spans="2:8" x14ac:dyDescent="0.25">
      <c r="B44" s="91" t="s">
        <v>243</v>
      </c>
      <c r="C44" s="111">
        <f>18000*3</f>
        <v>54000</v>
      </c>
      <c r="D44" s="111"/>
      <c r="E44" s="111">
        <f>18000*5</f>
        <v>90000</v>
      </c>
    </row>
    <row r="45" spans="2:8" x14ac:dyDescent="0.25">
      <c r="C45" s="111"/>
      <c r="D45" s="111"/>
      <c r="E45" s="111"/>
    </row>
    <row r="46" spans="2:8" x14ac:dyDescent="0.25">
      <c r="B46" s="91" t="s">
        <v>12</v>
      </c>
      <c r="C46" s="111">
        <f>1200*2</f>
        <v>2400</v>
      </c>
      <c r="D46" s="111"/>
      <c r="E46" s="111">
        <f>(2000*5)</f>
        <v>10000</v>
      </c>
    </row>
    <row r="47" spans="2:8" x14ac:dyDescent="0.25">
      <c r="C47" s="111"/>
      <c r="D47" s="111"/>
      <c r="E47" s="111"/>
      <c r="H47" s="112"/>
    </row>
    <row r="48" spans="2:8" x14ac:dyDescent="0.25">
      <c r="B48" s="91" t="s">
        <v>245</v>
      </c>
      <c r="C48" s="254">
        <f>1500*12</f>
        <v>18000</v>
      </c>
      <c r="D48" s="111"/>
      <c r="E48" s="254">
        <f>1500*12</f>
        <v>18000</v>
      </c>
    </row>
    <row r="49" spans="1:8" x14ac:dyDescent="0.25">
      <c r="C49" s="111">
        <f>SUM(C44:C48)</f>
        <v>74400</v>
      </c>
      <c r="D49" s="111"/>
      <c r="E49" s="111">
        <f>SUM(E44:E48)</f>
        <v>118000</v>
      </c>
    </row>
    <row r="50" spans="1:8" x14ac:dyDescent="0.25">
      <c r="C50" s="111"/>
      <c r="D50" s="111"/>
      <c r="E50" s="111"/>
    </row>
    <row r="51" spans="1:8" x14ac:dyDescent="0.25">
      <c r="B51" s="91" t="s">
        <v>244</v>
      </c>
      <c r="C51" s="111">
        <f>40000</f>
        <v>40000</v>
      </c>
      <c r="D51" s="111"/>
      <c r="E51" s="111"/>
      <c r="G51" s="112"/>
    </row>
    <row r="54" spans="1:8" x14ac:dyDescent="0.25">
      <c r="F54" s="112"/>
      <c r="H54" s="112"/>
    </row>
    <row r="55" spans="1:8" x14ac:dyDescent="0.25">
      <c r="F55" s="112"/>
    </row>
    <row r="56" spans="1:8" ht="13" x14ac:dyDescent="0.3">
      <c r="B56" s="28" t="s">
        <v>151</v>
      </c>
    </row>
    <row r="58" spans="1:8" ht="13" x14ac:dyDescent="0.3">
      <c r="A58" s="28" t="s">
        <v>288</v>
      </c>
      <c r="B58" s="91" t="s">
        <v>265</v>
      </c>
      <c r="C58" s="111">
        <f>E36</f>
        <v>297675</v>
      </c>
    </row>
    <row r="59" spans="1:8" x14ac:dyDescent="0.25">
      <c r="B59" s="91" t="s">
        <v>273</v>
      </c>
      <c r="C59" s="111">
        <f>41500</f>
        <v>41500</v>
      </c>
    </row>
    <row r="60" spans="1:8" ht="13" x14ac:dyDescent="0.3">
      <c r="B60" s="91" t="s">
        <v>275</v>
      </c>
      <c r="C60" s="111">
        <f>18000</f>
        <v>18000</v>
      </c>
      <c r="D60" s="224">
        <f>SUM(C58:C60)</f>
        <v>357175</v>
      </c>
      <c r="E60" s="225">
        <f>D60/D91</f>
        <v>0.17502422554812216</v>
      </c>
    </row>
    <row r="61" spans="1:8" x14ac:dyDescent="0.25">
      <c r="B61" s="91"/>
      <c r="C61" s="111"/>
    </row>
    <row r="62" spans="1:8" ht="13" x14ac:dyDescent="0.3">
      <c r="A62" s="28" t="s">
        <v>80</v>
      </c>
      <c r="B62" s="91" t="s">
        <v>266</v>
      </c>
      <c r="C62" s="111">
        <f>E37</f>
        <v>264075</v>
      </c>
    </row>
    <row r="63" spans="1:8" x14ac:dyDescent="0.25">
      <c r="B63" s="91" t="s">
        <v>312</v>
      </c>
      <c r="C63" s="111">
        <f>51000</f>
        <v>51000</v>
      </c>
    </row>
    <row r="64" spans="1:8" x14ac:dyDescent="0.25">
      <c r="B64" s="91" t="s">
        <v>286</v>
      </c>
      <c r="C64" s="111">
        <f>41000</f>
        <v>41000</v>
      </c>
    </row>
    <row r="65" spans="1:7" x14ac:dyDescent="0.25">
      <c r="B65" s="91" t="s">
        <v>287</v>
      </c>
      <c r="C65" s="111">
        <f>39000</f>
        <v>39000</v>
      </c>
    </row>
    <row r="66" spans="1:7" x14ac:dyDescent="0.25">
      <c r="B66" s="91" t="s">
        <v>271</v>
      </c>
      <c r="C66" s="111">
        <f>42000</f>
        <v>42000</v>
      </c>
    </row>
    <row r="67" spans="1:7" ht="13" x14ac:dyDescent="0.3">
      <c r="B67" s="91" t="s">
        <v>313</v>
      </c>
      <c r="C67" s="111">
        <f>26000</f>
        <v>26000</v>
      </c>
      <c r="D67" s="224">
        <f>SUM(C62:C67)</f>
        <v>463075</v>
      </c>
      <c r="E67" s="225">
        <f>D67/D91</f>
        <v>0.22691773849148644</v>
      </c>
    </row>
    <row r="68" spans="1:7" x14ac:dyDescent="0.25">
      <c r="B68" s="91"/>
      <c r="C68" s="111"/>
    </row>
    <row r="69" spans="1:7" ht="13" x14ac:dyDescent="0.3">
      <c r="A69" s="28" t="s">
        <v>289</v>
      </c>
      <c r="B69" s="91" t="s">
        <v>267</v>
      </c>
      <c r="C69" s="111">
        <f>E38</f>
        <v>226170</v>
      </c>
    </row>
    <row r="70" spans="1:7" x14ac:dyDescent="0.25">
      <c r="B70" s="91" t="s">
        <v>283</v>
      </c>
      <c r="C70" s="111">
        <f>53000</f>
        <v>53000</v>
      </c>
    </row>
    <row r="71" spans="1:7" x14ac:dyDescent="0.25">
      <c r="B71" s="91" t="s">
        <v>311</v>
      </c>
      <c r="C71" s="111">
        <f>18500</f>
        <v>18500</v>
      </c>
    </row>
    <row r="72" spans="1:7" x14ac:dyDescent="0.25">
      <c r="B72" s="91" t="s">
        <v>269</v>
      </c>
      <c r="C72" s="111">
        <f>41500</f>
        <v>41500</v>
      </c>
    </row>
    <row r="73" spans="1:7" x14ac:dyDescent="0.25">
      <c r="B73" s="91" t="s">
        <v>272</v>
      </c>
      <c r="C73" s="111">
        <f>34000</f>
        <v>34000</v>
      </c>
    </row>
    <row r="74" spans="1:7" x14ac:dyDescent="0.25">
      <c r="B74" s="91" t="s">
        <v>282</v>
      </c>
      <c r="C74" s="111">
        <f>45000</f>
        <v>45000</v>
      </c>
    </row>
    <row r="75" spans="1:7" x14ac:dyDescent="0.25">
      <c r="B75" s="91" t="s">
        <v>281</v>
      </c>
      <c r="C75" s="111">
        <f>32000</f>
        <v>32000</v>
      </c>
    </row>
    <row r="76" spans="1:7" x14ac:dyDescent="0.25">
      <c r="B76" s="91" t="s">
        <v>278</v>
      </c>
      <c r="C76" s="111">
        <f>29000</f>
        <v>29000</v>
      </c>
    </row>
    <row r="77" spans="1:7" ht="13" x14ac:dyDescent="0.3">
      <c r="B77" s="91" t="s">
        <v>274</v>
      </c>
      <c r="C77" s="111">
        <f>31000</f>
        <v>31000</v>
      </c>
      <c r="D77" s="224">
        <f>SUM(C69:C77)</f>
        <v>510170</v>
      </c>
      <c r="E77" s="225">
        <f>D77/D91</f>
        <v>0.24999540602753689</v>
      </c>
    </row>
    <row r="78" spans="1:7" x14ac:dyDescent="0.25">
      <c r="B78" s="91"/>
      <c r="C78" s="111"/>
    </row>
    <row r="79" spans="1:7" ht="13" x14ac:dyDescent="0.3">
      <c r="A79" s="28" t="s">
        <v>290</v>
      </c>
      <c r="B79" s="91" t="s">
        <v>291</v>
      </c>
      <c r="C79" s="111">
        <f>264075</f>
        <v>264075</v>
      </c>
      <c r="G79" s="220">
        <f>264075</f>
        <v>264075</v>
      </c>
    </row>
    <row r="80" spans="1:7" x14ac:dyDescent="0.25">
      <c r="B80" s="91" t="s">
        <v>270</v>
      </c>
      <c r="C80" s="111">
        <f>65000</f>
        <v>65000</v>
      </c>
    </row>
    <row r="81" spans="1:7" x14ac:dyDescent="0.25">
      <c r="B81" s="91" t="s">
        <v>276</v>
      </c>
      <c r="C81" s="111">
        <f>43000</f>
        <v>43000</v>
      </c>
    </row>
    <row r="82" spans="1:7" x14ac:dyDescent="0.25">
      <c r="B82" s="91" t="s">
        <v>277</v>
      </c>
      <c r="C82" s="111">
        <f>34000</f>
        <v>34000</v>
      </c>
    </row>
    <row r="83" spans="1:7" x14ac:dyDescent="0.25">
      <c r="B83" s="91" t="s">
        <v>280</v>
      </c>
      <c r="C83" s="111">
        <f>39000</f>
        <v>39000</v>
      </c>
    </row>
    <row r="84" spans="1:7" x14ac:dyDescent="0.25">
      <c r="B84" s="91" t="s">
        <v>284</v>
      </c>
      <c r="C84" s="111">
        <f>53000</f>
        <v>53000</v>
      </c>
      <c r="G84" s="113"/>
    </row>
    <row r="85" spans="1:7" ht="13" x14ac:dyDescent="0.3">
      <c r="B85" s="91" t="s">
        <v>285</v>
      </c>
      <c r="C85" s="111">
        <f>23000</f>
        <v>23000</v>
      </c>
      <c r="D85" s="224">
        <f>SUM(C79:C85)</f>
        <v>521075</v>
      </c>
      <c r="E85" s="225">
        <f>D85/D91</f>
        <v>0.25533911479663401</v>
      </c>
    </row>
    <row r="86" spans="1:7" ht="13" x14ac:dyDescent="0.3">
      <c r="B86" s="91"/>
      <c r="C86" s="111"/>
      <c r="D86" s="224"/>
    </row>
    <row r="87" spans="1:7" ht="13" x14ac:dyDescent="0.3">
      <c r="A87" s="28" t="s">
        <v>81</v>
      </c>
      <c r="B87" s="91" t="s">
        <v>268</v>
      </c>
      <c r="C87" s="111">
        <f>E39</f>
        <v>142222.5</v>
      </c>
    </row>
    <row r="88" spans="1:7" ht="13" x14ac:dyDescent="0.3">
      <c r="B88" s="91" t="s">
        <v>279</v>
      </c>
      <c r="C88" s="111">
        <f>47000</f>
        <v>47000</v>
      </c>
      <c r="D88" s="224">
        <f>SUM(C87:C88)</f>
        <v>189222.5</v>
      </c>
      <c r="E88" s="225">
        <f>D88/D91</f>
        <v>9.2723515136220472E-2</v>
      </c>
    </row>
    <row r="91" spans="1:7" ht="13" x14ac:dyDescent="0.3">
      <c r="D91" s="224">
        <f>SUM(D85,D77,D67,D60,D88)</f>
        <v>2040717.5</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DABD18B4E3342ADC48E4AB658DD95" ma:contentTypeVersion="11" ma:contentTypeDescription="Crée un document." ma:contentTypeScope="" ma:versionID="6c65c03ed5cb63d9afa8f8232918d0fd">
  <xsd:schema xmlns:xsd="http://www.w3.org/2001/XMLSchema" xmlns:xs="http://www.w3.org/2001/XMLSchema" xmlns:p="http://schemas.microsoft.com/office/2006/metadata/properties" xmlns:ns2="7efd63c4-653a-4d21-8d00-2effe4579461" xmlns:ns3="c15478a5-0be8-4f5d-8383-b307d5ba8bf6" targetNamespace="http://schemas.microsoft.com/office/2006/metadata/properties" ma:root="true" ma:fieldsID="9720ffeea9911d6c4eea48c781d4e5aa" ns2:_="" ns3:_="">
    <xsd:import namespace="7efd63c4-653a-4d21-8d00-2effe4579461"/>
    <xsd:import namespace="c15478a5-0be8-4f5d-8383-b307d5ba8b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d63c4-653a-4d21-8d00-2effe4579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5478a5-0be8-4f5d-8383-b307d5ba8bf6"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DB59DC-0391-470B-85D7-B459AA749F2D}"/>
</file>

<file path=customXml/itemProps2.xml><?xml version="1.0" encoding="utf-8"?>
<ds:datastoreItem xmlns:ds="http://schemas.openxmlformats.org/officeDocument/2006/customXml" ds:itemID="{6034CE6F-7BAA-4E76-AAAA-00ABD22953BE}"/>
</file>

<file path=customXml/itemProps3.xml><?xml version="1.0" encoding="utf-8"?>
<ds:datastoreItem xmlns:ds="http://schemas.openxmlformats.org/officeDocument/2006/customXml" ds:itemID="{02044C8D-BCE5-4ABA-9C93-339B6343DE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Graphs</vt:lpstr>
      <vt:lpstr>Summary</vt:lpstr>
      <vt:lpstr>Annex II UN Grant</vt:lpstr>
      <vt:lpstr>Annex III RB 2020</vt:lpstr>
      <vt:lpstr>Annex IV Extra Budget by Prog</vt:lpstr>
      <vt:lpstr>Annex V 2021 RB XB</vt:lpstr>
      <vt:lpstr>PPB Breakdwn</vt:lpstr>
      <vt:lpstr>PPB</vt:lpstr>
      <vt:lpstr>Workings</vt:lpstr>
      <vt:lpstr>'Annex II UN Grant'!Print_Area</vt:lpstr>
      <vt:lpstr>'Annex IV Extra Budget by Prog'!Print_Area</vt:lpstr>
      <vt:lpstr>'Annex V 2021 RB XB'!Print_Area</vt:lpstr>
    </vt:vector>
  </TitlesOfParts>
  <Company>IDEP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Kibbnesh Wolde GABRIEL</dc:creator>
  <cp:lastModifiedBy>Ron Misty Kamwendo</cp:lastModifiedBy>
  <cp:lastPrinted>2018-03-13T15:31:13Z</cp:lastPrinted>
  <dcterms:created xsi:type="dcterms:W3CDTF">2010-01-25T13:03:21Z</dcterms:created>
  <dcterms:modified xsi:type="dcterms:W3CDTF">2020-11-26T17:29:11Z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0x010100772DABD18B4E3342ADC48E4AB658DD95</vt:lpwstr>
  </property>
</Properties>
</file>