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worksheets/sheet1.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C:\Users\Rkamwendo\OneDrive - United Nations\UNIDEP Stuff\2. Budgeting &amp; Finance\1. Biennium Budgets\2021\Budget\"/>
    </mc:Choice>
  </mc:AlternateContent>
  <xr:revisionPtr revIDLastSave="778" documentId="8_{0AE01037-6F80-4B74-AB70-153C64D6BA00}" xr6:coauthVersionLast="44" xr6:coauthVersionMax="44" xr10:uidLastSave="{8684C8C0-FBCB-4C55-A9AE-53F8F86D4E76}"/>
  <bookViews>
    <workbookView xWindow="-110" yWindow="-110" windowWidth="19420" windowHeight="10420" firstSheet="2" activeTab="5" xr2:uid="{00000000-000D-0000-FFFF-FFFF00000000}"/>
  </bookViews>
  <sheets>
    <sheet name="Graphs" sheetId="8" r:id="rId1"/>
    <sheet name="Summary" sheetId="9" r:id="rId2"/>
    <sheet name="Annex II UN Grant" sheetId="2" r:id="rId3"/>
    <sheet name="Annex III RB 2020" sheetId="7" r:id="rId4"/>
    <sheet name="Annex IV Extra Budget by Prog" sheetId="3" r:id="rId5"/>
    <sheet name="Annex V 2021 RB XB" sheetId="5" r:id="rId6"/>
    <sheet name="PPB Breakdwn" sheetId="11" state="hidden" r:id="rId7"/>
    <sheet name="PPB" sheetId="12" state="hidden" r:id="rId8"/>
    <sheet name="Workings" sheetId="10" state="hidden" r:id="rId9"/>
  </sheets>
  <definedNames>
    <definedName name="_xlnm.Print_Area" localSheetId="2">'Annex II UN Grant'!$A$1:$F$17</definedName>
    <definedName name="_xlnm.Print_Area" localSheetId="4">'Annex IV Extra Budget by Prog'!$A$1:$E$29</definedName>
    <definedName name="_xlnm.Print_Area" localSheetId="5">'Annex V 2021 RB XB'!$A$1:$I$59</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C4" i="8" l="1"/>
  <c r="C5" i="8" l="1"/>
  <c r="G19" i="9"/>
  <c r="F7" i="5" l="1"/>
  <c r="F15" i="5"/>
  <c r="C49" i="8"/>
  <c r="E47" i="8" l="1"/>
  <c r="C47" i="8"/>
  <c r="B47" i="8"/>
  <c r="B46" i="8"/>
  <c r="C6" i="8"/>
  <c r="E10" i="9"/>
  <c r="D10" i="9"/>
  <c r="C10" i="9"/>
  <c r="B10" i="9"/>
  <c r="L17" i="5"/>
  <c r="L13" i="5"/>
  <c r="L15" i="5"/>
  <c r="L19" i="5"/>
  <c r="L14" i="5"/>
  <c r="E8" i="7"/>
  <c r="E9" i="7"/>
  <c r="E10" i="7"/>
  <c r="E11" i="7"/>
  <c r="G11" i="7" s="1"/>
  <c r="E12" i="7"/>
  <c r="E13" i="7"/>
  <c r="E14" i="7"/>
  <c r="E15" i="7"/>
  <c r="G15" i="7" s="1"/>
  <c r="E16" i="7"/>
  <c r="E17" i="7"/>
  <c r="E18" i="7"/>
  <c r="E19" i="7"/>
  <c r="G19" i="7" s="1"/>
  <c r="E20" i="7"/>
  <c r="E21" i="7"/>
  <c r="E22" i="7"/>
  <c r="E23" i="7"/>
  <c r="G23" i="7" s="1"/>
  <c r="E24" i="7"/>
  <c r="E25" i="7"/>
  <c r="E26" i="7"/>
  <c r="E27" i="7"/>
  <c r="G27" i="7" s="1"/>
  <c r="E28" i="7"/>
  <c r="E29" i="7"/>
  <c r="E30" i="7"/>
  <c r="E31" i="7"/>
  <c r="G31" i="7" s="1"/>
  <c r="E32" i="7"/>
  <c r="E33" i="7"/>
  <c r="E34" i="7"/>
  <c r="E35" i="7"/>
  <c r="G35" i="7" s="1"/>
  <c r="E36" i="7"/>
  <c r="E37" i="7"/>
  <c r="E38" i="7"/>
  <c r="E39" i="7"/>
  <c r="G39" i="7" s="1"/>
  <c r="E40" i="7"/>
  <c r="E41" i="7"/>
  <c r="E42" i="7"/>
  <c r="E43" i="7"/>
  <c r="G43" i="7" s="1"/>
  <c r="E44" i="7"/>
  <c r="E45" i="7"/>
  <c r="E46" i="7"/>
  <c r="E47" i="7"/>
  <c r="G47" i="7" s="1"/>
  <c r="E48" i="7"/>
  <c r="E49" i="7"/>
  <c r="E50" i="7"/>
  <c r="E51" i="7"/>
  <c r="G51" i="7" s="1"/>
  <c r="E52" i="7"/>
  <c r="E53" i="7"/>
  <c r="E54" i="7"/>
  <c r="E55" i="7"/>
  <c r="G55" i="7" s="1"/>
  <c r="E56" i="7"/>
  <c r="E7" i="7"/>
  <c r="E6" i="7"/>
  <c r="G8" i="7"/>
  <c r="G9" i="7"/>
  <c r="G10" i="7"/>
  <c r="G12" i="7"/>
  <c r="G13" i="7"/>
  <c r="G16" i="7"/>
  <c r="G17" i="7"/>
  <c r="G18" i="7"/>
  <c r="G20" i="7"/>
  <c r="G21" i="7"/>
  <c r="G22" i="7"/>
  <c r="G24" i="7"/>
  <c r="G25" i="7"/>
  <c r="G26" i="7"/>
  <c r="G28" i="7"/>
  <c r="G29" i="7"/>
  <c r="G30" i="7"/>
  <c r="G32" i="7"/>
  <c r="G33" i="7"/>
  <c r="G34" i="7"/>
  <c r="G36" i="7"/>
  <c r="G37" i="7"/>
  <c r="G38" i="7"/>
  <c r="G40" i="7"/>
  <c r="G41" i="7"/>
  <c r="G42" i="7"/>
  <c r="G44" i="7"/>
  <c r="G45" i="7"/>
  <c r="G46" i="7"/>
  <c r="G48" i="7"/>
  <c r="G49" i="7"/>
  <c r="G50" i="7"/>
  <c r="G52" i="7"/>
  <c r="G53" i="7"/>
  <c r="G54" i="7"/>
  <c r="G56" i="7"/>
  <c r="G7" i="7"/>
  <c r="D8" i="7"/>
  <c r="D9" i="7"/>
  <c r="D10" i="7"/>
  <c r="D11" i="7"/>
  <c r="D12" i="7"/>
  <c r="D13"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7" i="7"/>
  <c r="C39" i="7"/>
  <c r="C40" i="7"/>
  <c r="C41" i="7"/>
  <c r="C42" i="7"/>
  <c r="C43" i="7"/>
  <c r="C44" i="7"/>
  <c r="C45" i="7"/>
  <c r="C46" i="7"/>
  <c r="C47" i="7"/>
  <c r="C48" i="7"/>
  <c r="C49" i="7"/>
  <c r="C50" i="7"/>
  <c r="C51" i="7"/>
  <c r="C52" i="7"/>
  <c r="C53" i="7"/>
  <c r="C54" i="7"/>
  <c r="C55" i="7"/>
  <c r="C56" i="7"/>
  <c r="C37" i="7"/>
  <c r="C38"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7" i="7"/>
  <c r="C6" i="7"/>
  <c r="G29" i="5"/>
  <c r="I10" i="5"/>
  <c r="I11" i="5"/>
  <c r="I55" i="5"/>
  <c r="I54" i="5"/>
  <c r="H54" i="5"/>
  <c r="D11" i="3" l="1"/>
  <c r="G27" i="5"/>
  <c r="E53" i="5"/>
  <c r="D53" i="5"/>
  <c r="H57" i="5"/>
  <c r="H36" i="5"/>
  <c r="M49" i="11"/>
  <c r="O49" i="11" s="1"/>
  <c r="E48" i="5"/>
  <c r="D48" i="5"/>
  <c r="E47" i="5"/>
  <c r="I46" i="5"/>
  <c r="I44" i="5"/>
  <c r="I42" i="5"/>
  <c r="O59" i="11"/>
  <c r="M54" i="11"/>
  <c r="O47" i="11"/>
  <c r="M47" i="11"/>
  <c r="O46" i="11"/>
  <c r="O51" i="11"/>
  <c r="O48" i="11"/>
  <c r="O43" i="11"/>
  <c r="O37" i="11"/>
  <c r="M25" i="11" l="1"/>
  <c r="O20" i="11"/>
  <c r="O19" i="11"/>
  <c r="H7" i="5" l="1"/>
  <c r="C79" i="10"/>
  <c r="D6" i="9" l="1"/>
  <c r="E11" i="2"/>
  <c r="G15" i="5"/>
  <c r="F14" i="5"/>
  <c r="D7" i="5"/>
  <c r="C67" i="10"/>
  <c r="C66" i="10"/>
  <c r="C65" i="10"/>
  <c r="C64" i="10"/>
  <c r="C63" i="10"/>
  <c r="C60" i="10"/>
  <c r="C59" i="10"/>
  <c r="C77" i="10"/>
  <c r="C76" i="10"/>
  <c r="C75" i="10"/>
  <c r="C74" i="10"/>
  <c r="C73" i="10"/>
  <c r="C72" i="10"/>
  <c r="C71" i="10"/>
  <c r="C70" i="10"/>
  <c r="C88" i="10"/>
  <c r="C85" i="10"/>
  <c r="C84" i="10"/>
  <c r="C83" i="10"/>
  <c r="C82" i="10"/>
  <c r="C81" i="10"/>
  <c r="C80" i="10"/>
  <c r="C87" i="10"/>
  <c r="D9" i="9"/>
  <c r="G79" i="10"/>
  <c r="D6" i="7" l="1"/>
  <c r="O8" i="11"/>
  <c r="M6" i="11"/>
  <c r="O25" i="11"/>
  <c r="O42" i="11"/>
  <c r="O50" i="11"/>
  <c r="E62" i="5" l="1"/>
  <c r="F62" i="5"/>
  <c r="G39" i="5"/>
  <c r="E39" i="5" s="1"/>
  <c r="E56" i="5"/>
  <c r="G51" i="5"/>
  <c r="G49" i="5"/>
  <c r="G24" i="5"/>
  <c r="G23" i="5"/>
  <c r="G22" i="5"/>
  <c r="R1" i="10"/>
  <c r="G41" i="5"/>
  <c r="G16" i="5"/>
  <c r="G13" i="5"/>
  <c r="E10" i="2"/>
  <c r="E39" i="10" l="1"/>
  <c r="C51" i="10" l="1"/>
  <c r="F8" i="5"/>
  <c r="F39" i="10"/>
  <c r="F38" i="10"/>
  <c r="F37" i="10"/>
  <c r="F36" i="10"/>
  <c r="C69" i="10"/>
  <c r="C62" i="10"/>
  <c r="C58" i="10"/>
  <c r="E38" i="10"/>
  <c r="E37" i="10"/>
  <c r="E36" i="10"/>
  <c r="N48" i="11"/>
  <c r="D52" i="5" l="1"/>
  <c r="D51" i="5"/>
  <c r="D47" i="5"/>
  <c r="D45" i="5"/>
  <c r="D44" i="5"/>
  <c r="D43" i="5"/>
  <c r="D41" i="5"/>
  <c r="D40" i="5"/>
  <c r="D37" i="5"/>
  <c r="D33" i="5"/>
  <c r="D32" i="5"/>
  <c r="D31" i="5"/>
  <c r="D30" i="5"/>
  <c r="D28" i="5"/>
  <c r="D21" i="5"/>
  <c r="D20" i="5"/>
  <c r="D19" i="5"/>
  <c r="D18" i="5"/>
  <c r="D17" i="5"/>
  <c r="D16" i="5"/>
  <c r="D14" i="5"/>
  <c r="D12" i="5"/>
  <c r="D10" i="5"/>
  <c r="D9" i="5"/>
  <c r="D8" i="5"/>
  <c r="E59" i="5"/>
  <c r="C59" i="5"/>
  <c r="O54" i="11"/>
  <c r="N47" i="11" l="1"/>
  <c r="N31" i="11"/>
  <c r="O31" i="11"/>
  <c r="O16" i="11"/>
  <c r="O6" i="11"/>
  <c r="N6" i="11"/>
  <c r="O7" i="11"/>
  <c r="M15" i="11"/>
  <c r="O15" i="11" s="1"/>
  <c r="E12" i="2"/>
  <c r="H38" i="5" l="1"/>
  <c r="G38" i="5"/>
  <c r="D12" i="3" l="1"/>
  <c r="E44" i="10"/>
  <c r="E48" i="10"/>
  <c r="E46" i="10"/>
  <c r="F18" i="5"/>
  <c r="D36" i="10"/>
  <c r="D37" i="10"/>
  <c r="D38" i="10"/>
  <c r="D39" i="10"/>
  <c r="C36" i="10"/>
  <c r="C38" i="10"/>
  <c r="C39" i="10"/>
  <c r="C44" i="10"/>
  <c r="C46" i="10"/>
  <c r="C48" i="10"/>
  <c r="C49" i="10"/>
  <c r="P22" i="10"/>
  <c r="Q23" i="10"/>
  <c r="Q22" i="10"/>
  <c r="D49" i="5" s="1"/>
  <c r="P23" i="10"/>
  <c r="C19" i="10"/>
  <c r="D19" i="10"/>
  <c r="E19" i="10"/>
  <c r="F19" i="10"/>
  <c r="G19" i="10"/>
  <c r="H19" i="10"/>
  <c r="I19" i="10"/>
  <c r="J19" i="10"/>
  <c r="K19" i="10"/>
  <c r="L19" i="10"/>
  <c r="M19" i="10"/>
  <c r="N19" i="10"/>
  <c r="P11" i="10"/>
  <c r="P15" i="10"/>
  <c r="Q15" i="10" s="1"/>
  <c r="D24" i="5" s="1"/>
  <c r="P3" i="10"/>
  <c r="P7" i="10"/>
  <c r="Q7" i="10" s="1"/>
  <c r="G26" i="5" s="1"/>
  <c r="D26" i="5" s="1"/>
  <c r="P29" i="10"/>
  <c r="M26" i="10"/>
  <c r="P26" i="10" s="1"/>
  <c r="Q26" i="10" s="1"/>
  <c r="D46" i="5" s="1"/>
  <c r="F53" i="7"/>
  <c r="F54" i="7"/>
  <c r="F55" i="7"/>
  <c r="C57" i="7"/>
  <c r="H35" i="5"/>
  <c r="D35" i="5" s="1"/>
  <c r="D55" i="5"/>
  <c r="N59" i="11"/>
  <c r="M61" i="11"/>
  <c r="M63" i="11" s="1"/>
  <c r="D39" i="5"/>
  <c r="N51" i="11"/>
  <c r="N50" i="11"/>
  <c r="N49" i="11"/>
  <c r="D58" i="5"/>
  <c r="O14" i="11"/>
  <c r="O13" i="11"/>
  <c r="O12" i="11"/>
  <c r="O11" i="11"/>
  <c r="D13" i="5"/>
  <c r="D14" i="3"/>
  <c r="O35" i="11"/>
  <c r="O36" i="11"/>
  <c r="O28" i="11"/>
  <c r="N43" i="11"/>
  <c r="N42" i="11"/>
  <c r="N37" i="11"/>
  <c r="N36" i="11"/>
  <c r="N35" i="11"/>
  <c r="N28" i="11"/>
  <c r="N25" i="11"/>
  <c r="D54" i="5"/>
  <c r="N20" i="11"/>
  <c r="D6" i="3"/>
  <c r="N19" i="11"/>
  <c r="N16" i="11"/>
  <c r="N15" i="11"/>
  <c r="N14" i="11"/>
  <c r="N13" i="11"/>
  <c r="N12" i="11"/>
  <c r="N11" i="11"/>
  <c r="N8" i="11"/>
  <c r="N7" i="11"/>
  <c r="F29" i="5"/>
  <c r="C19" i="9"/>
  <c r="F15" i="7"/>
  <c r="F12" i="7"/>
  <c r="F9" i="5"/>
  <c r="F8" i="7"/>
  <c r="F30" i="5"/>
  <c r="F43" i="7"/>
  <c r="F7" i="7"/>
  <c r="F9" i="7"/>
  <c r="F10" i="7"/>
  <c r="F11" i="7"/>
  <c r="F16" i="7"/>
  <c r="F18" i="7"/>
  <c r="F19" i="7"/>
  <c r="F20" i="7"/>
  <c r="F21" i="7"/>
  <c r="F22" i="7"/>
  <c r="F23" i="7"/>
  <c r="F24" i="7"/>
  <c r="F25" i="7"/>
  <c r="F26" i="7"/>
  <c r="F27" i="7"/>
  <c r="F30" i="7"/>
  <c r="F31" i="7"/>
  <c r="F32" i="7"/>
  <c r="F33" i="7"/>
  <c r="F34" i="7"/>
  <c r="F36" i="7"/>
  <c r="F37" i="7"/>
  <c r="F38" i="7"/>
  <c r="F39" i="7"/>
  <c r="F40" i="7"/>
  <c r="F41" i="7"/>
  <c r="F42" i="7"/>
  <c r="F44" i="7"/>
  <c r="F45" i="7"/>
  <c r="F46" i="7"/>
  <c r="F47" i="7"/>
  <c r="F48" i="7"/>
  <c r="F49" i="7"/>
  <c r="F50" i="7"/>
  <c r="F51" i="7"/>
  <c r="F52" i="7"/>
  <c r="F56" i="7"/>
  <c r="N54" i="11"/>
  <c r="D56" i="5"/>
  <c r="D9" i="2"/>
  <c r="G50" i="5" l="1"/>
  <c r="G62" i="5" s="1"/>
  <c r="H34" i="5"/>
  <c r="D15" i="5"/>
  <c r="F14" i="7"/>
  <c r="G14" i="7" s="1"/>
  <c r="F29" i="7"/>
  <c r="C20" i="9"/>
  <c r="D60" i="10"/>
  <c r="D41" i="10"/>
  <c r="F41" i="10"/>
  <c r="D85" i="10"/>
  <c r="D8" i="9" s="1"/>
  <c r="E41" i="10"/>
  <c r="D38" i="5"/>
  <c r="D88" i="10"/>
  <c r="D7" i="9" s="1"/>
  <c r="D8" i="3"/>
  <c r="Q29" i="10"/>
  <c r="D27" i="5" s="1"/>
  <c r="Q3" i="10"/>
  <c r="G25" i="5" s="1"/>
  <c r="D25" i="5" s="1"/>
  <c r="Q11" i="10"/>
  <c r="D23" i="5" s="1"/>
  <c r="C41" i="10"/>
  <c r="D77" i="10"/>
  <c r="D23" i="3"/>
  <c r="E49" i="10"/>
  <c r="D21" i="3"/>
  <c r="P19" i="10"/>
  <c r="Q19" i="10" s="1"/>
  <c r="D67" i="10"/>
  <c r="F28" i="7"/>
  <c r="D13" i="3"/>
  <c r="D10" i="3"/>
  <c r="D11" i="5"/>
  <c r="F17" i="7"/>
  <c r="D7" i="3"/>
  <c r="D14" i="7" l="1"/>
  <c r="L16" i="5"/>
  <c r="D50" i="5"/>
  <c r="D34" i="5"/>
  <c r="C7" i="9" s="1"/>
  <c r="D11" i="9"/>
  <c r="D22" i="5"/>
  <c r="G59" i="5"/>
  <c r="F42" i="10"/>
  <c r="E9" i="2"/>
  <c r="E13" i="2" s="1"/>
  <c r="F36" i="5" s="1"/>
  <c r="D91" i="10"/>
  <c r="E77" i="10" s="1"/>
  <c r="D29" i="5"/>
  <c r="F6" i="7"/>
  <c r="G6" i="7" s="1"/>
  <c r="D42" i="10"/>
  <c r="F13" i="7"/>
  <c r="C8" i="9"/>
  <c r="D18" i="3" l="1"/>
  <c r="N61" i="11"/>
  <c r="N63" i="11" s="1"/>
  <c r="E67" i="10"/>
  <c r="E85" i="10"/>
  <c r="E60" i="10"/>
  <c r="E11" i="9" s="1"/>
  <c r="E48" i="8" s="1"/>
  <c r="E88" i="10"/>
  <c r="E7" i="9" s="1"/>
  <c r="E44" i="8" s="1"/>
  <c r="H62" i="5"/>
  <c r="D22" i="3"/>
  <c r="D24" i="3" s="1"/>
  <c r="C9" i="9"/>
  <c r="E9" i="9" s="1"/>
  <c r="E46" i="8" s="1"/>
  <c r="D17" i="3"/>
  <c r="H59" i="5"/>
  <c r="E8" i="9"/>
  <c r="E45" i="8" s="1"/>
  <c r="O61" i="11" l="1"/>
  <c r="O63" i="11" s="1"/>
  <c r="D14" i="9"/>
  <c r="E16" i="2"/>
  <c r="E57" i="7"/>
  <c r="D36" i="5" l="1"/>
  <c r="F35" i="7" l="1"/>
  <c r="F59" i="5"/>
  <c r="D57" i="7" l="1"/>
  <c r="F57" i="7"/>
  <c r="G57" i="7" l="1"/>
  <c r="C50" i="8" l="1"/>
  <c r="D43" i="8" l="1"/>
  <c r="D47" i="8"/>
  <c r="D49" i="8"/>
  <c r="D46" i="8"/>
  <c r="D45" i="8"/>
  <c r="D48" i="8"/>
  <c r="D44" i="8"/>
  <c r="D15" i="3" l="1"/>
  <c r="D19" i="3" s="1"/>
  <c r="D26" i="3" s="1"/>
  <c r="D57" i="5"/>
  <c r="C6" i="9"/>
  <c r="E6" i="9" l="1"/>
  <c r="E43" i="8" l="1"/>
  <c r="I59" i="5"/>
  <c r="D31" i="3" s="1"/>
  <c r="D33" i="3" s="1"/>
  <c r="I62" i="5"/>
  <c r="D42" i="5"/>
  <c r="D59" i="5" s="1"/>
  <c r="L18" i="5" l="1"/>
  <c r="C12" i="9" s="1"/>
  <c r="D62" i="5"/>
  <c r="I69" i="5"/>
  <c r="E12" i="9" l="1"/>
  <c r="E49" i="8" s="1"/>
  <c r="C14" i="9"/>
  <c r="E14" i="9" l="1"/>
  <c r="F10" i="9" s="1"/>
  <c r="F9" i="9"/>
  <c r="F7" i="9"/>
  <c r="E50" i="8"/>
  <c r="F11" i="9" l="1"/>
  <c r="F12" i="9"/>
  <c r="C7" i="8"/>
  <c r="C21" i="9" s="1"/>
  <c r="F8" i="9"/>
  <c r="F6" i="9"/>
  <c r="F49" i="8"/>
  <c r="F47" i="8"/>
  <c r="F14" i="9"/>
  <c r="F44" i="8"/>
  <c r="F48" i="8"/>
  <c r="F45" i="8"/>
  <c r="F46" i="8"/>
  <c r="F43" i="8"/>
  <c r="C8" i="8" l="1"/>
  <c r="D6" i="8"/>
  <c r="D5" i="8"/>
  <c r="D4" i="8"/>
  <c r="D7" i="8"/>
  <c r="C23" i="9"/>
  <c r="D21" i="9" s="1"/>
  <c r="D20" i="9" l="1"/>
  <c r="D19" i="9"/>
  <c r="D23"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Alois Constan COLY</author>
  </authors>
  <commentList>
    <comment ref="G15" authorId="0" shapeId="0" xr:uid="{A56B830D-0A11-8348-93B7-D712CA09F0B4}">
      <text>
        <r>
          <rPr>
            <b/>
            <sz val="9"/>
            <color indexed="81"/>
            <rFont val="Tahoma"/>
            <family val="2"/>
          </rPr>
          <t>Alois Constan COLY:</t>
        </r>
        <r>
          <rPr>
            <sz val="9"/>
            <color indexed="81"/>
            <rFont val="Tahoma"/>
            <family val="2"/>
          </rPr>
          <t xml:space="preserve">
Vigassistance 1212625
UN SECURITY 1912151
</t>
        </r>
      </text>
    </comment>
  </commentList>
</comments>
</file>

<file path=xl/sharedStrings.xml><?xml version="1.0" encoding="utf-8"?>
<sst xmlns="http://schemas.openxmlformats.org/spreadsheetml/2006/main" count="531" uniqueCount="335">
  <si>
    <t>DESCRIPTION</t>
  </si>
  <si>
    <t xml:space="preserve">Proposed </t>
  </si>
  <si>
    <t>Budget</t>
  </si>
  <si>
    <t>Line</t>
  </si>
  <si>
    <t>Professional Posts</t>
  </si>
  <si>
    <t>Lecturers</t>
  </si>
  <si>
    <t>Administrative support staff</t>
  </si>
  <si>
    <t>Staff Training</t>
  </si>
  <si>
    <t>Premises/Building</t>
  </si>
  <si>
    <t>Communications</t>
  </si>
  <si>
    <t>Loss on Exchange</t>
  </si>
  <si>
    <t>Education Grant Travel</t>
  </si>
  <si>
    <t>Home Leave Travel</t>
  </si>
  <si>
    <t>Other Separation Costs</t>
  </si>
  <si>
    <t>Travel of Staff</t>
  </si>
  <si>
    <t>Travel of Consultants</t>
  </si>
  <si>
    <t>Consultants</t>
  </si>
  <si>
    <t>Travel of Lecturers</t>
  </si>
  <si>
    <t>External Contractual Interpretation Services</t>
  </si>
  <si>
    <t>Cleaning Services</t>
  </si>
  <si>
    <t>Gardening Services</t>
  </si>
  <si>
    <t>Security Services</t>
  </si>
  <si>
    <t>Electricity</t>
  </si>
  <si>
    <t>Water</t>
  </si>
  <si>
    <t>Fuel</t>
  </si>
  <si>
    <t>Hospitality</t>
  </si>
  <si>
    <t>Maintenance of Office Automation Equipment</t>
  </si>
  <si>
    <t>Miscellaneous Services</t>
  </si>
  <si>
    <t>Stationery &amp; Office Supplies</t>
  </si>
  <si>
    <t>Training Materials</t>
  </si>
  <si>
    <t>Non-Expendable Equipment</t>
  </si>
  <si>
    <t>Overtime</t>
  </si>
  <si>
    <t>External Contractual Translation (Editing)</t>
  </si>
  <si>
    <t>Maintenance of Furniture &amp; Office Equipment</t>
  </si>
  <si>
    <t>Bank Charges</t>
  </si>
  <si>
    <t xml:space="preserve">Policy Dialogue </t>
  </si>
  <si>
    <t>Advanced Policy Research</t>
  </si>
  <si>
    <t xml:space="preserve">Education Grant </t>
  </si>
  <si>
    <t xml:space="preserve">Travel on Separation </t>
  </si>
  <si>
    <t>Commutation of Annual Leave on Separation</t>
  </si>
  <si>
    <t>Governing Council Meetings</t>
  </si>
  <si>
    <t>Contractual Services for Meetings &amp; Conferences</t>
  </si>
  <si>
    <t>Maintenance of  Communication Equipment</t>
  </si>
  <si>
    <t>Miscellaneous Claims &amp; Adjustments</t>
  </si>
  <si>
    <t>Books/Periodicals/Publications</t>
  </si>
  <si>
    <t>Audit Fee</t>
  </si>
  <si>
    <t>GRAND TOTAL</t>
  </si>
  <si>
    <t>Maintenance &amp; Operation of Transportation Eqt.</t>
  </si>
  <si>
    <t>Allotment</t>
  </si>
  <si>
    <t>GENERAL ASSEMBLY GRANT</t>
  </si>
  <si>
    <t>Budget Line</t>
  </si>
  <si>
    <t>M/M</t>
  </si>
  <si>
    <t>TOTAL</t>
  </si>
  <si>
    <t>Grand Total</t>
  </si>
  <si>
    <t>All XB Resources</t>
  </si>
  <si>
    <t>Support Personnel, Administrative and Overhead Costs</t>
  </si>
  <si>
    <t>IDEP Library &amp; IDEP Policy Publications</t>
  </si>
  <si>
    <t>Outreach and Dissemination Programmes &amp; Activities</t>
  </si>
  <si>
    <t>Capacity Development and Training Programmes</t>
  </si>
  <si>
    <t>Policy Research Programmes</t>
  </si>
  <si>
    <t>EXTRA BUDGETARY BY PROGRAMME OF ACTIVITIES</t>
  </si>
  <si>
    <t xml:space="preserve">Regular </t>
  </si>
  <si>
    <t>Extra-</t>
  </si>
  <si>
    <t>(RB &amp; XB)</t>
  </si>
  <si>
    <t>Marketing Promotion &amp; Visibility</t>
  </si>
  <si>
    <t>Fellowships &amp; Miscellaneaos services</t>
  </si>
  <si>
    <t>Development Seminars</t>
  </si>
  <si>
    <t>Administrative Support Staff</t>
  </si>
  <si>
    <t>Short term Courses</t>
  </si>
  <si>
    <t xml:space="preserve">Relocation &amp; Repatriation Grants </t>
  </si>
  <si>
    <t>Capacity Development and Training Programmes Short-term Courses (5)</t>
  </si>
  <si>
    <t>Capacity Development and Training Programmes Short-term Courses</t>
  </si>
  <si>
    <t>Need Assessment Training, Tailor -made &amp; Strategic outreach</t>
  </si>
  <si>
    <t>MSc Collaborative Programmes</t>
  </si>
  <si>
    <t>Need assessment &amp; strategic outreach</t>
  </si>
  <si>
    <t>Sub-total</t>
  </si>
  <si>
    <t>Administrative, Lagistics &amp; Equipments Support</t>
  </si>
  <si>
    <t>Member State Contributions</t>
  </si>
  <si>
    <t>%</t>
  </si>
  <si>
    <t>Total</t>
  </si>
  <si>
    <t>Training</t>
  </si>
  <si>
    <t>Research</t>
  </si>
  <si>
    <t>Staff costs</t>
  </si>
  <si>
    <t>Common running costs</t>
  </si>
  <si>
    <t>A</t>
  </si>
  <si>
    <t>B</t>
  </si>
  <si>
    <t>Governing Council and Technical Advisory Committee</t>
  </si>
  <si>
    <t>Lecturers for short courses</t>
  </si>
  <si>
    <t>Professional Posts (Director, Training Head, Administrator, Research Officer)</t>
  </si>
  <si>
    <t>Budget (UN Grant)</t>
  </si>
  <si>
    <t>Governing Council and TAC Meetings</t>
  </si>
  <si>
    <t>Less home leave travel and education grant estimate</t>
  </si>
  <si>
    <t>Jan</t>
  </si>
  <si>
    <t>Feb</t>
  </si>
  <si>
    <t>Mar</t>
  </si>
  <si>
    <t>Apr</t>
  </si>
  <si>
    <t>May</t>
  </si>
  <si>
    <t>Jun</t>
  </si>
  <si>
    <t>Jul</t>
  </si>
  <si>
    <t>Aug</t>
  </si>
  <si>
    <t>Sep</t>
  </si>
  <si>
    <t>Oct</t>
  </si>
  <si>
    <t>Nov</t>
  </si>
  <si>
    <t>Dec</t>
  </si>
  <si>
    <t xml:space="preserve">Gardening </t>
  </si>
  <si>
    <t>Security</t>
  </si>
  <si>
    <t xml:space="preserve">Cleaning </t>
  </si>
  <si>
    <t>Extract from UN Grants and difference is from MS Contribution based on salary projections</t>
  </si>
  <si>
    <t>Monthly Development Seminars</t>
  </si>
  <si>
    <t>Contract  based</t>
  </si>
  <si>
    <t>Based on trends of previous years</t>
  </si>
  <si>
    <t>based on trends of previous years slightly uplifted</t>
  </si>
  <si>
    <t>Extracted from UN grant allotments - honararium</t>
  </si>
  <si>
    <t>Provisional sum for unknown and uncategorised expenses</t>
  </si>
  <si>
    <t>Based on three meetings of GC and two for TAC for the year (drawn from trends)</t>
  </si>
  <si>
    <t>Estimated based on max ed grant and number of dependants</t>
  </si>
  <si>
    <t>Estmated contribution to the cost of staff training for UMOJA (IPSAS, Finance, Grants, Funds, Travel, HR, Procurement, Service delivery, ESS/MSS)</t>
  </si>
  <si>
    <t>E-learning platform development &amp; software purchases and running costs</t>
  </si>
  <si>
    <t>Based on previous trends</t>
  </si>
  <si>
    <t>IMDIS</t>
  </si>
  <si>
    <t>COUNT</t>
  </si>
  <si>
    <t xml:space="preserve">Substantive servicing of meetings: </t>
  </si>
  <si>
    <t>No</t>
  </si>
  <si>
    <t>Yes</t>
  </si>
  <si>
    <t xml:space="preserve">Parliamentary documentation: </t>
  </si>
  <si>
    <t xml:space="preserve"> Other substantive activities (regular budget): </t>
  </si>
  <si>
    <t>Non-recurrent publications:</t>
  </si>
  <si>
    <t>Booklets, Pamplets, Fact sheets, Wallchartsm,Information Kits:</t>
  </si>
  <si>
    <t>Exhibits, guided tours, lectures:</t>
  </si>
  <si>
    <t xml:space="preserve"> Technical cooperation (regular budget/extrabudgetary): </t>
  </si>
  <si>
    <t xml:space="preserve">Fellowships and grants: </t>
  </si>
  <si>
    <t>Total Outputs</t>
  </si>
  <si>
    <t>Adjusted Total Ouputs</t>
  </si>
  <si>
    <t>Includes advisory services, see course breakdown</t>
  </si>
  <si>
    <t xml:space="preserve">Includes non-recurrent publications, </t>
  </si>
  <si>
    <t>Extracted from UN grant allotments and previous trends</t>
  </si>
  <si>
    <t>Covers information kit and other media exploits</t>
  </si>
  <si>
    <t>Provisional sum for vehicle repairs</t>
  </si>
  <si>
    <t>Provisional sum for the replacement of worn-out items and purchase of microphone</t>
  </si>
  <si>
    <t>High-level policy dialogues</t>
  </si>
  <si>
    <t>E-leaning Platform and test run with UNITAR</t>
  </si>
  <si>
    <t>IDEP Communications</t>
  </si>
  <si>
    <t>Govermig Council / Technical Advisory Committee plus reports</t>
  </si>
  <si>
    <t>Sectoral and Thematic Core Short Courses, workshops</t>
  </si>
  <si>
    <t xml:space="preserve">Development Seminars </t>
  </si>
  <si>
    <t>Field project visits</t>
  </si>
  <si>
    <t>Monitoring and Evaluation</t>
  </si>
  <si>
    <t>MSc Programmes (Industrial Policy; Development Planning)</t>
  </si>
  <si>
    <t>POTENTIAL SOURCE OF FUNDS</t>
  </si>
  <si>
    <t>All XB Resource overhead</t>
  </si>
  <si>
    <t>Prog Expenses</t>
  </si>
  <si>
    <t>Salaries</t>
  </si>
  <si>
    <t>Operating expenses</t>
  </si>
  <si>
    <t>KM and e-Learning</t>
  </si>
  <si>
    <t>Amount (US$)</t>
  </si>
  <si>
    <t>Category</t>
  </si>
  <si>
    <t>ACTIVITY</t>
  </si>
  <si>
    <t>Visiting Tajudeen and other Research Fellowships</t>
  </si>
  <si>
    <t>Admin costs</t>
  </si>
  <si>
    <t xml:space="preserve">                                               REGULAR BUDGET AND IDEP GENERATED RESOURCES THE BIENNIUM 2018-2019</t>
  </si>
  <si>
    <t>ALLOTMENT 2019</t>
  </si>
  <si>
    <t>Outputs</t>
  </si>
  <si>
    <t>Quantity</t>
  </si>
  <si>
    <t>Servicing of intergovernmental and expert bodies: (Regular Budget / Extrabudgetary)</t>
  </si>
  <si>
    <t>Substantive servicing of meetings:</t>
  </si>
  <si>
    <r>
      <t>1.</t>
    </r>
    <r>
      <rPr>
        <sz val="7"/>
        <rFont val="Times New Roman"/>
        <family val="1"/>
      </rPr>
      <t xml:space="preserve">    </t>
    </r>
    <r>
      <rPr>
        <sz val="8.5"/>
        <color rgb="FF000000"/>
        <rFont val="Times New Roman"/>
        <family val="1"/>
      </rPr>
      <t>Statutory meetings of the Governing Council of the African Institute for Economic Development and Planning (IDEP);</t>
    </r>
  </si>
  <si>
    <r>
      <t>2.</t>
    </r>
    <r>
      <rPr>
        <sz val="7"/>
        <rFont val="Times New Roman"/>
        <family val="1"/>
      </rPr>
      <t xml:space="preserve">    </t>
    </r>
    <r>
      <rPr>
        <sz val="8.5"/>
        <color rgb="FF000000"/>
        <rFont val="Times New Roman"/>
        <family val="1"/>
      </rPr>
      <t>Technical Advisory Committee of IDEP.</t>
    </r>
  </si>
  <si>
    <t>Parliamentary documentation:</t>
  </si>
  <si>
    <r>
      <t>3.</t>
    </r>
    <r>
      <rPr>
        <sz val="7"/>
        <rFont val="Times New Roman"/>
        <family val="1"/>
      </rPr>
      <t xml:space="preserve">    </t>
    </r>
    <r>
      <rPr>
        <sz val="8.5"/>
        <color rgb="FF000000"/>
        <rFont val="Times New Roman"/>
        <family val="1"/>
      </rPr>
      <t>Reports to the IDEP Governing Council on the status of sub-programme;</t>
    </r>
  </si>
  <si>
    <r>
      <t>4.</t>
    </r>
    <r>
      <rPr>
        <sz val="7"/>
        <rFont val="Times New Roman"/>
        <family val="1"/>
      </rPr>
      <t xml:space="preserve">    </t>
    </r>
    <r>
      <rPr>
        <sz val="8.5"/>
        <rFont val="Times New Roman"/>
        <family val="1"/>
      </rPr>
      <t>IDEP Governing Council meeting reports;</t>
    </r>
  </si>
  <si>
    <r>
      <t>5.</t>
    </r>
    <r>
      <rPr>
        <sz val="7"/>
        <rFont val="Times New Roman"/>
        <family val="1"/>
      </rPr>
      <t xml:space="preserve">    </t>
    </r>
    <r>
      <rPr>
        <sz val="8.5"/>
        <rFont val="Times New Roman"/>
        <family val="1"/>
      </rPr>
      <t>Progress reports to the IDEP Technical Advisory Committee;</t>
    </r>
  </si>
  <si>
    <r>
      <t>6.</t>
    </r>
    <r>
      <rPr>
        <sz val="7"/>
        <rFont val="Times New Roman"/>
        <family val="1"/>
      </rPr>
      <t xml:space="preserve">    </t>
    </r>
    <r>
      <rPr>
        <sz val="8.5"/>
        <rFont val="Times New Roman"/>
        <family val="1"/>
      </rPr>
      <t>IDEP Technical Advisory Committee meeting report to the Governing Council;</t>
    </r>
  </si>
  <si>
    <r>
      <t>7.</t>
    </r>
    <r>
      <rPr>
        <sz val="7"/>
        <rFont val="Times New Roman"/>
        <family val="1"/>
      </rPr>
      <t xml:space="preserve">    </t>
    </r>
    <r>
      <rPr>
        <sz val="8.5"/>
        <rFont val="Times New Roman"/>
        <family val="1"/>
      </rPr>
      <t>Statutory Audit reports on the financial health of IDEP presented to the Governing Council;</t>
    </r>
  </si>
  <si>
    <r>
      <t>8.</t>
    </r>
    <r>
      <rPr>
        <sz val="7"/>
        <rFont val="Times New Roman"/>
        <family val="1"/>
      </rPr>
      <t xml:space="preserve">    </t>
    </r>
    <r>
      <rPr>
        <sz val="8.5"/>
        <rFont val="Times New Roman"/>
        <family val="1"/>
      </rPr>
      <t xml:space="preserve">IDEP programme progress reports for the ECA Conference of Ministers of Finance, Planning, and Economic Management. </t>
    </r>
  </si>
  <si>
    <t>Ad hoc expert groups</t>
  </si>
  <si>
    <r>
      <t>9.</t>
    </r>
    <r>
      <rPr>
        <sz val="7"/>
        <rFont val="Times New Roman"/>
        <family val="1"/>
      </rPr>
      <t xml:space="preserve">    </t>
    </r>
    <r>
      <rPr>
        <sz val="8.5"/>
        <color rgb="FF000000"/>
        <rFont val="Times New Roman"/>
        <family val="1"/>
      </rPr>
      <t>High-level policy dialogue events attended by policy officials from Member States, private sector representatives and subject-matter experts to examine various issues pertaining to African economic development and planning with particular emphasis on those relating to 2030 Agenda for Sustainable Development.</t>
    </r>
  </si>
  <si>
    <t>Other services provided</t>
  </si>
  <si>
    <r>
      <t>10.</t>
    </r>
    <r>
      <rPr>
        <sz val="7"/>
        <rFont val="Times New Roman"/>
        <family val="1"/>
      </rPr>
      <t xml:space="preserve"> </t>
    </r>
    <r>
      <rPr>
        <sz val="8.5"/>
        <color rgb="FF000000"/>
        <rFont val="Times New Roman"/>
        <family val="1"/>
      </rPr>
      <t>Communities of practice for Africa Development Planners facilitated via electronic media.</t>
    </r>
  </si>
  <si>
    <t>Other substantive activities (Extra-Budgetary)</t>
  </si>
  <si>
    <r>
      <t>11.</t>
    </r>
    <r>
      <rPr>
        <sz val="7"/>
        <rFont val="Times New Roman"/>
        <family val="1"/>
      </rPr>
      <t xml:space="preserve"> </t>
    </r>
    <r>
      <rPr>
        <sz val="8.5"/>
        <rFont val="Times New Roman"/>
        <family val="1"/>
      </rPr>
      <t xml:space="preserve">Discussion papers presented by authors at research related events co-organised by IDEP and partners, to be disseminated to the wider public through print and electronic media; </t>
    </r>
  </si>
  <si>
    <r>
      <t>12.</t>
    </r>
    <r>
      <rPr>
        <sz val="7"/>
        <rFont val="Times New Roman"/>
        <family val="1"/>
      </rPr>
      <t xml:space="preserve"> </t>
    </r>
    <r>
      <rPr>
        <sz val="8.5"/>
        <rFont val="Times New Roman"/>
        <family val="1"/>
      </rPr>
      <t>Fellowship papers on relevant selected research topics published in journals.</t>
    </r>
  </si>
  <si>
    <t>Booklets, pamphlets, fact sheets, wallcharts, information kits:</t>
  </si>
  <si>
    <r>
      <t>13.</t>
    </r>
    <r>
      <rPr>
        <sz val="7"/>
        <rFont val="Times New Roman"/>
        <family val="1"/>
      </rPr>
      <t xml:space="preserve"> </t>
    </r>
    <r>
      <rPr>
        <sz val="8.5"/>
        <rFont val="Times New Roman"/>
        <family val="1"/>
      </rPr>
      <t>Policy briefs on outcomes of monthly development seminars organised by IDEP and partners disseminated to the wider public through print and electronic media;</t>
    </r>
  </si>
  <si>
    <r>
      <t>14.</t>
    </r>
    <r>
      <rPr>
        <sz val="7"/>
        <rFont val="Times New Roman"/>
        <family val="1"/>
      </rPr>
      <t xml:space="preserve"> </t>
    </r>
    <r>
      <rPr>
        <sz val="8.5"/>
        <rFont val="Times New Roman"/>
        <family val="1"/>
      </rPr>
      <t>Books, Journals and other library materials on economic management and development planning (in both English and French) procured and made available to training participants and the wider public through the on-site and virtual library.</t>
    </r>
  </si>
  <si>
    <r>
      <t>15.</t>
    </r>
    <r>
      <rPr>
        <sz val="7"/>
        <rFont val="Times New Roman"/>
        <family val="1"/>
      </rPr>
      <t xml:space="preserve"> </t>
    </r>
    <r>
      <rPr>
        <sz val="8.5"/>
        <rFont val="Times New Roman"/>
        <family val="1"/>
      </rPr>
      <t>200,000 pages digitally archived in A4 format are made available via Internet connection to the library, to support both research activity for interested parties; and the in-house and e-Learning training activity at IDEP.</t>
    </r>
  </si>
  <si>
    <r>
      <t>16.</t>
    </r>
    <r>
      <rPr>
        <sz val="7"/>
        <rFont val="Times New Roman"/>
        <family val="1"/>
      </rPr>
      <t xml:space="preserve"> </t>
    </r>
    <r>
      <rPr>
        <sz val="8.5"/>
        <rFont val="Times New Roman"/>
        <family val="1"/>
      </rPr>
      <t>Information kit for IDEP comprising of the IDEP strategic plan, training brochures, booklets, leaflets, kakemonos, banners, and assorted accessories (bags, t-shirts, pens, calendars, greeting cards, to promote the Institute’s work produced).</t>
    </r>
  </si>
  <si>
    <t>Exhibits, guided tours and lectures:</t>
  </si>
  <si>
    <r>
      <t>17.</t>
    </r>
    <r>
      <rPr>
        <sz val="7"/>
        <rFont val="Times New Roman"/>
        <family val="1"/>
      </rPr>
      <t xml:space="preserve"> </t>
    </r>
    <r>
      <rPr>
        <sz val="8.5"/>
        <rFont val="Times New Roman"/>
        <family val="1"/>
      </rPr>
      <t>Development seminars on top-of-mind topics on African economic development and planning;</t>
    </r>
  </si>
  <si>
    <r>
      <t>18.</t>
    </r>
    <r>
      <rPr>
        <sz val="7"/>
        <rFont val="Times New Roman"/>
        <family val="1"/>
      </rPr>
      <t xml:space="preserve"> </t>
    </r>
    <r>
      <rPr>
        <sz val="8.5"/>
        <rFont val="Times New Roman"/>
        <family val="1"/>
      </rPr>
      <t>Field visits for participants to explore practical applications of classroom-learnings in the areas of industrialisation, transport and infrastructure, agriculture, mining and natural resources management, and tourism.</t>
    </r>
  </si>
  <si>
    <t>Technical cooperation (regular budget/extra budgetary)</t>
  </si>
  <si>
    <t>Advisory services at the request of governments:</t>
  </si>
  <si>
    <r>
      <t>19.</t>
    </r>
    <r>
      <rPr>
        <sz val="7"/>
        <rFont val="Times New Roman"/>
        <family val="1"/>
      </rPr>
      <t xml:space="preserve"> </t>
    </r>
    <r>
      <rPr>
        <sz val="8.5"/>
        <rFont val="Times New Roman"/>
        <family val="1"/>
      </rPr>
      <t>Advisory Missions undertaken at the request of Member States and Regional Economic Communities (REC) to assist in matters of economic management and development planning;</t>
    </r>
  </si>
  <si>
    <r>
      <t>20.</t>
    </r>
    <r>
      <rPr>
        <sz val="7"/>
        <rFont val="Times New Roman"/>
        <family val="1"/>
      </rPr>
      <t xml:space="preserve"> </t>
    </r>
    <r>
      <rPr>
        <sz val="8.5"/>
        <rFont val="Times New Roman"/>
        <family val="1"/>
      </rPr>
      <t>Needs assessment missions undertaken to a sample of Member States and Regional Economic Communities (REC) to identify human capacity building needs that can be addressed by skills trainings to be used in developing new on-site or tailor-made (country or REC specific) training courses.</t>
    </r>
  </si>
  <si>
    <t>Fellowships and grants:</t>
  </si>
  <si>
    <r>
      <t>21.</t>
    </r>
    <r>
      <rPr>
        <sz val="7"/>
        <rFont val="Times New Roman"/>
        <family val="1"/>
      </rPr>
      <t xml:space="preserve"> </t>
    </r>
    <r>
      <rPr>
        <sz val="8.5"/>
        <rFont val="Times New Roman"/>
        <family val="1"/>
      </rPr>
      <t>Fellowships awarded to competitively selected individuals to undertake quality research leading to publications in the management of economic policy and development planning.</t>
    </r>
  </si>
  <si>
    <t>Group training (seminars, workshops, symposiums):</t>
  </si>
  <si>
    <r>
      <t>22.</t>
    </r>
    <r>
      <rPr>
        <sz val="7"/>
        <rFont val="Times New Roman"/>
        <family val="1"/>
      </rPr>
      <t xml:space="preserve"> </t>
    </r>
    <r>
      <rPr>
        <sz val="8.5"/>
        <rFont val="Times New Roman"/>
        <family val="1"/>
      </rPr>
      <t xml:space="preserve">Two-week skills trainings, each targeting an average of 25 public officials, in various aspects of African economic development and planning including: Agricultural Policy, Data and Statistics, Development Planning and Strategies, Domestic Resource Mobilisation, Energy Policy, Gender and Economics, Illicit Financial Flows, Industrialisation, International Migration and Development, Minerals and Mining Policy, Natural Resources Management, Sectoral Development Planning, Social Policy, Transport and Infrastructure; </t>
    </r>
  </si>
  <si>
    <r>
      <t>23.</t>
    </r>
    <r>
      <rPr>
        <sz val="7"/>
        <rFont val="Times New Roman"/>
        <family val="1"/>
      </rPr>
      <t xml:space="preserve"> </t>
    </r>
    <r>
      <rPr>
        <sz val="8.5"/>
        <rFont val="Times New Roman"/>
        <family val="1"/>
      </rPr>
      <t xml:space="preserve">One-week skills trainings in collaboration with ECA Divisions, Centres, and Sub-Regional Offices, each targeting an average of 25 public officials, in various aspects of African economic development and planning including: Climate Change, Gender and Development, Governance and Development, Innovations and Technology, Land Management, Macroeconomics, Natural Resources Management, Regional Integration and Trade, Social Development, and Statistics; </t>
    </r>
  </si>
  <si>
    <r>
      <t>24.</t>
    </r>
    <r>
      <rPr>
        <sz val="7"/>
        <rFont val="Times New Roman"/>
        <family val="1"/>
      </rPr>
      <t xml:space="preserve"> </t>
    </r>
    <r>
      <rPr>
        <sz val="8.5"/>
        <rFont val="Times New Roman"/>
        <family val="1"/>
      </rPr>
      <t>E-learning courses (4 English, 4 French) based on selected ECA flagship publications targeting 1000 beneficiaries drawn from the academia, civil society, private sector and public sector;</t>
    </r>
  </si>
  <si>
    <r>
      <t>25.</t>
    </r>
    <r>
      <rPr>
        <sz val="7"/>
        <rFont val="Times New Roman"/>
        <family val="1"/>
      </rPr>
      <t xml:space="preserve"> </t>
    </r>
    <r>
      <rPr>
        <sz val="8.5"/>
        <rFont val="Times New Roman"/>
        <family val="1"/>
      </rPr>
      <t>E-learning courses (6 English, 6 French) via the IDEP online learning platform based on the current IDEP portfolio of regular courses and targeting 1,200 beneficiaries drawn from the civil society, private sector, and public sector;</t>
    </r>
  </si>
  <si>
    <r>
      <t>26.</t>
    </r>
    <r>
      <rPr>
        <sz val="7"/>
        <rFont val="Times New Roman"/>
        <family val="1"/>
      </rPr>
      <t xml:space="preserve"> </t>
    </r>
    <r>
      <rPr>
        <sz val="8.5"/>
        <rFont val="Times New Roman"/>
        <family val="1"/>
      </rPr>
      <t>Master’s Degree programmes with specialisations of relevance to African development, targeting policymakers, offered in collaboration with recognised African Universities in the following areas: Industrial Policy, Economic Management and Development Planning, and Natural Resources Management;</t>
    </r>
  </si>
  <si>
    <r>
      <t>27.</t>
    </r>
    <r>
      <rPr>
        <sz val="7"/>
        <rFont val="Times New Roman"/>
        <family val="1"/>
      </rPr>
      <t xml:space="preserve"> </t>
    </r>
    <r>
      <rPr>
        <sz val="8.5"/>
        <rFont val="Times New Roman"/>
        <family val="1"/>
      </rPr>
      <t>Curriculum development workshops to develop new courses addressing needs expressed by member States through IDEP needs assessment missions.</t>
    </r>
  </si>
  <si>
    <t>Telecommunications</t>
  </si>
  <si>
    <t>Cellphones</t>
  </si>
  <si>
    <t>Landline</t>
  </si>
  <si>
    <t>Statutory meetings of the Governing Council of the African Institute for Economic Development and Planning (IDEP);</t>
  </si>
  <si>
    <t>Meetings of the Technical Advisory Committee of IDEP.</t>
  </si>
  <si>
    <t>Reports to the IDEP Governing Council on the status of sub-programme;</t>
  </si>
  <si>
    <t>IDEP Governing Council meeting reports;</t>
  </si>
  <si>
    <t>Progress reports to the IDEP Technical Advisory Committee;</t>
  </si>
  <si>
    <t>IDEP Technical Advisory Committee meeting report to the Governing Council;</t>
  </si>
  <si>
    <t>Statutory Audit reports on the financial health of IDEP presented to the Governing Council;</t>
  </si>
  <si>
    <t xml:space="preserve">IDEP programme progress reports for the ECA Conference of Ministers of Finance, Planning, and Economic Management. </t>
  </si>
  <si>
    <t>Conference of Ministers of Finance, Planning and Economic Development</t>
  </si>
  <si>
    <t>High-level policy dialogue events attended by policy officials from Member States, private sector representatives and subject-matter experts to examine various issues pertaining to African economic development and planning with particular emphasis on those relating to 2030 Agenda for Sustainable Development.</t>
  </si>
  <si>
    <t>Communities of practice for Africa Development Planners facilitated via electronic media.</t>
  </si>
  <si>
    <t>Office Stationery</t>
  </si>
  <si>
    <t>Staff Travel</t>
  </si>
  <si>
    <t xml:space="preserve">Discussion papers presented by authors at research related events co-organised by IDEP and partners, to be disseminated to the wider public through print and electronic media; </t>
  </si>
  <si>
    <t>Fellowship papers on relevant selected research topics published in journals.</t>
  </si>
  <si>
    <t>Policy briefs on outcomes of monthly development seminars organised by IDEP and partners disseminated to the wider public through print and electronic media;</t>
  </si>
  <si>
    <t>Development seminars on top-of-mind topics on African economic development and planning;</t>
  </si>
  <si>
    <t>Field visits for participants to explore practical applications of classroom-learnings in the areas of industrialisation, transport and infrastructure, agriculture, mining and natural resources management, and tourism.</t>
  </si>
  <si>
    <t xml:space="preserve">Advisory services at the request of governments: </t>
  </si>
  <si>
    <t>Advisory Missions undertaken at the request of Member States and Regional Economic Communities (REC) to assist in matters of economic management and development planning;</t>
  </si>
  <si>
    <t>Needs assessment missions undertaken to a sample of Member States and Regional Economic Communities (REC) to identify human capacity building needs that can be addressed by skills trainings to be used in developing new on-site or tailor-made (country or REC specific) training courses.</t>
  </si>
  <si>
    <t>Curriculum development workshops to develop new courses addressing needs expressed by member States through IDEP needs assessment missions.</t>
  </si>
  <si>
    <t xml:space="preserve">Group training (seminars, workshops, symposiums): </t>
  </si>
  <si>
    <t>Other services : (Other adhoc Expert Groups)</t>
  </si>
  <si>
    <t>Administrative support costs</t>
  </si>
  <si>
    <t>Central support services: (Achives and records management)</t>
  </si>
  <si>
    <t>To undertake quality research leading to publications on the management of economic policy and development planning</t>
  </si>
  <si>
    <t>Master’s Degree programmes with specialisations of relevance to African development, targeting policymakers, offered in collaboration with recognised African Universities;</t>
  </si>
  <si>
    <t xml:space="preserve">Technical materials: </t>
  </si>
  <si>
    <t>Seminars</t>
  </si>
  <si>
    <t>Information kit for IDEP comprising of the IDEP strategic plan, training brochures, booklets, leaflets, kakemonos, banners, and assorted accessories to promote the Institute's work (set)</t>
  </si>
  <si>
    <t>COST - UN Grant</t>
  </si>
  <si>
    <t>COST - XB plus</t>
  </si>
  <si>
    <t>Professional Salaries</t>
  </si>
  <si>
    <t>D1</t>
  </si>
  <si>
    <t>P5</t>
  </si>
  <si>
    <t>P3</t>
  </si>
  <si>
    <t>P4</t>
  </si>
  <si>
    <t>Ed Grant</t>
  </si>
  <si>
    <t>Relocation</t>
  </si>
  <si>
    <t>Rental Subsidy</t>
  </si>
  <si>
    <t>Education Grant &amp; Rental Subsidy</t>
  </si>
  <si>
    <t>Avg US$</t>
  </si>
  <si>
    <t>Avg CFA</t>
  </si>
  <si>
    <t>Exchange rate</t>
  </si>
  <si>
    <t>Based on biennium plan</t>
  </si>
  <si>
    <t>20 scholarships with UJ and the rest with INP</t>
  </si>
  <si>
    <t>Estimated amount</t>
  </si>
  <si>
    <t xml:space="preserve">Three purchases averaging $3000 each </t>
  </si>
  <si>
    <t>Reduced estimated based on non-usage</t>
  </si>
  <si>
    <t>Two home leave instances anticipated</t>
  </si>
  <si>
    <t>Covers cellphones, landlines, and data - based on recent trends</t>
  </si>
  <si>
    <t>Based on a costing of the biennium plan (eLearning and Communities of Practice) and software licensing (proc plan)</t>
  </si>
  <si>
    <t>Contract  based, uplifted for impending LTA adjustments</t>
  </si>
  <si>
    <t>e-Learning and Knowledge Management</t>
  </si>
  <si>
    <t>IDEP XB</t>
  </si>
  <si>
    <t>UJ, ACBF, INP</t>
  </si>
  <si>
    <t>Estimate based on the recurring need to fix toilets, basement, and electrical work</t>
  </si>
  <si>
    <t>eLearning and Knowledge Management</t>
  </si>
  <si>
    <t>ECA Programme Support</t>
  </si>
  <si>
    <t>Karima Ben Soltane</t>
  </si>
  <si>
    <t>Moustapha Sadni Jallab</t>
  </si>
  <si>
    <t>Ron M. Kamwendo Jnr</t>
  </si>
  <si>
    <t>P3 Vacant Post</t>
  </si>
  <si>
    <t>Adama Sira Bah</t>
  </si>
  <si>
    <t>Antonin Benoit Diouf</t>
  </si>
  <si>
    <t>Aimé M Mangoumen</t>
  </si>
  <si>
    <t>Amsatou Ndiaye</t>
  </si>
  <si>
    <t>Anna Ndiaye</t>
  </si>
  <si>
    <t>Mamadou Demba Ka</t>
  </si>
  <si>
    <t>Malick Coumba Ndiaye</t>
  </si>
  <si>
    <t>Charles Bara</t>
  </si>
  <si>
    <t>Mamadou Diaw</t>
  </si>
  <si>
    <t>Juliette Quenum</t>
  </si>
  <si>
    <t>Mbathio Samb</t>
  </si>
  <si>
    <t>Paulette Diene</t>
  </si>
  <si>
    <t>Mamadou Sy</t>
  </si>
  <si>
    <t>Aloïs C. Coly</t>
  </si>
  <si>
    <t>Cheikh A.Toure</t>
  </si>
  <si>
    <t>Eric Fidel C. Guedegbe</t>
  </si>
  <si>
    <t>Bertthilde Mukanyiligira</t>
  </si>
  <si>
    <t>Catherine Layre Faye</t>
  </si>
  <si>
    <t>Zeynabou Kane</t>
  </si>
  <si>
    <t>Direction</t>
  </si>
  <si>
    <t>Administration</t>
  </si>
  <si>
    <t>e-Leaning &amp; KM</t>
  </si>
  <si>
    <t>Head of eLearning and KN</t>
  </si>
  <si>
    <t>Capital expendindures (Computers,Projectors, photocopier,interpretation equipments</t>
  </si>
  <si>
    <t>BADEA,FF,ECA, ABD,AUC, COMESA,MEFMI,UJ</t>
  </si>
  <si>
    <t>ECA / IDEP XB</t>
  </si>
  <si>
    <t>ECA/BADEA/MEFMI/UNITAR</t>
  </si>
  <si>
    <t>ECA Divisions</t>
  </si>
  <si>
    <t>BADEA,FF,OSIWA,ECA</t>
  </si>
  <si>
    <t>General Assembly Grant 2020 Allotment</t>
  </si>
  <si>
    <t>E-learning courses ( English &amp; French) delivered via the IDEP online learning platform based on the current IDEP portfolio of regular courses and targeting the civil society, private sector, and public sector;</t>
  </si>
  <si>
    <t>Member States</t>
  </si>
  <si>
    <t>Budgetary (ECA)</t>
  </si>
  <si>
    <t>Extra-Budgetary</t>
  </si>
  <si>
    <t>Other Partners</t>
  </si>
  <si>
    <t>Year</t>
  </si>
  <si>
    <t xml:space="preserve">Books, Journals and other library materials on economic management and development planning (in both English and French) procured and made available to training participants and the wider public through the on-site and virtual library. </t>
  </si>
  <si>
    <t xml:space="preserve">Servicing of intergovernmental and expert bodies (regular budget and extrabudgetary): </t>
  </si>
  <si>
    <t>IDEP Unrestricted Reserves &amp; Other Income</t>
  </si>
  <si>
    <t>Refer to the 2018 procurement plan (replacement of Director's vehicle)</t>
  </si>
  <si>
    <t>One-week in-situ skills training targeting an average of 25 public officials on various aspects of African economic development and planning including;</t>
  </si>
  <si>
    <t>Two-week in-situ skills training targeting an average of 25 public officials, on various aspects of African economic development and planning including;</t>
  </si>
  <si>
    <t>Finance Assistant (Vacant)</t>
  </si>
  <si>
    <t>Mamadou Cisse</t>
  </si>
  <si>
    <t>Pierrette Lou Nah Zah</t>
  </si>
  <si>
    <t>Regular Budget (UN Grant + RPTC)</t>
  </si>
  <si>
    <t>Minimum to be mobilised</t>
  </si>
  <si>
    <t>One-week online tailor-made skills training targeting an average of 30 public officials on various aspects of African economic development and planning including;</t>
  </si>
  <si>
    <t>TOTAL BUDGET ESTIMATE FOR 2021</t>
  </si>
  <si>
    <t>2020 Budget</t>
  </si>
  <si>
    <t>2021 IDEP Resources</t>
  </si>
  <si>
    <t>2021 UN Grant Resources</t>
  </si>
  <si>
    <t xml:space="preserve">Business Development </t>
  </si>
  <si>
    <t>Fellowships &amp; Miscellaneous services</t>
  </si>
  <si>
    <t>Monitoring &amp; Evaluation</t>
  </si>
  <si>
    <t>Business Development</t>
  </si>
  <si>
    <t>Coordination Salaries</t>
  </si>
  <si>
    <t>2021 BREAKDOWN OF BUDGET</t>
  </si>
  <si>
    <t>SOURCES OF FUNDING FOR THE 2021</t>
  </si>
  <si>
    <t>FOR THE YEAR 2021</t>
  </si>
  <si>
    <t>UN Grant + RPTC</t>
  </si>
  <si>
    <t>Member States &amp; ECA Support</t>
  </si>
  <si>
    <t>Other Extra Budgetary</t>
  </si>
  <si>
    <t>22 online courses and 3 in-situ courses</t>
  </si>
  <si>
    <t>Provisional</t>
  </si>
  <si>
    <t>To cover interpretation and platform rental as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</si>
</sst>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7" x14ac:knownFonts="1">
    <font>
      <sz val="10"/>
      <name val="Arial"/>
    </font>
    <font>
      <sz val="10"/>
      <name val="Arial"/>
      <family val="2"/>
    </font>
    <font>
      <b/>
      <sz val="18"/>
      <name val="Times New Roman"/>
      <family val="1"/>
    </font>
    <font>
      <b/>
      <sz val="12"/>
      <name val="Times New Roman"/>
      <family val="1"/>
    </font>
    <font>
      <sz val="10"/>
      <name val="Arial"/>
      <family val="2"/>
    </font>
    <font>
      <b/>
      <sz val="14"/>
      <name val="Times New Roman"/>
      <family val="1"/>
    </font>
    <font>
      <sz val="9"/>
      <name val="Arial"/>
      <family val="2"/>
    </font>
    <font>
      <b/>
      <sz val="9"/>
      <name val="Times New Roman"/>
      <family val="1"/>
    </font>
    <font>
      <b/>
      <sz val="9"/>
      <name val="Arial"/>
      <family val="2"/>
    </font>
    <font>
      <sz val="9"/>
      <name val="Times New Roman"/>
      <family val="1"/>
    </font>
    <font>
      <b/>
      <sz val="14"/>
      <name val="Arial"/>
      <family val="2"/>
    </font>
    <font>
      <b/>
      <sz val="16"/>
      <name val="Arial"/>
      <family val="2"/>
    </font>
    <font>
      <b/>
      <sz val="12"/>
      <name val="Arial"/>
      <family val="2"/>
    </font>
    <font>
      <sz val="16"/>
      <name val="Arial"/>
      <family val="2"/>
    </font>
    <font>
      <sz val="12"/>
      <name val="Arial"/>
      <family val="2"/>
    </font>
    <font>
      <sz val="1"/>
      <color indexed="8"/>
      <name val="Courier"/>
      <family val="3"/>
    </font>
    <font>
      <sz val="14"/>
      <name val="Arial"/>
      <family val="2"/>
    </font>
    <font>
      <sz val="12"/>
      <name val="Times New Roman"/>
      <family val="1"/>
    </font>
    <font>
      <b/>
      <sz val="10"/>
      <name val="Arial"/>
      <family val="2"/>
    </font>
    <font>
      <sz val="10"/>
      <name val="Arial"/>
      <family val="2"/>
    </font>
    <font>
      <b/>
      <sz val="11"/>
      <name val="Times New Roman"/>
      <family val="1"/>
    </font>
    <font>
      <sz val="8"/>
      <name val="Arial"/>
      <family val="2"/>
    </font>
    <font>
      <sz val="10"/>
      <color theme="1"/>
      <name val="Arial"/>
      <family val="2"/>
    </font>
    <font>
      <b/>
      <sz val="10"/>
      <color theme="1"/>
      <name val="Arial"/>
      <family val="2"/>
    </font>
    <font>
      <b/>
      <sz val="12"/>
      <color theme="1"/>
      <name val="Arial"/>
      <family val="2"/>
    </font>
    <font>
      <b/>
      <i/>
      <sz val="10"/>
      <color theme="1"/>
      <name val="Arial"/>
      <family val="2"/>
    </font>
    <font>
      <sz val="9"/>
      <color indexed="81"/>
      <name val="Tahoma"/>
      <family val="2"/>
    </font>
    <font>
      <b/>
      <sz val="9"/>
      <color indexed="81"/>
      <name val="Tahoma"/>
      <family val="2"/>
    </font>
    <font>
      <i/>
      <sz val="7"/>
      <color rgb="FF000000"/>
      <name val="Times New Roman"/>
      <family val="1"/>
    </font>
    <font>
      <b/>
      <sz val="8.5"/>
      <color rgb="FF000000"/>
      <name val="Times New Roman"/>
      <family val="1"/>
    </font>
    <font>
      <i/>
      <sz val="8.5"/>
      <color rgb="FF000000"/>
      <name val="Times New Roman"/>
      <family val="1"/>
    </font>
    <font>
      <sz val="8.5"/>
      <color rgb="FF000000"/>
      <name val="Times New Roman"/>
      <family val="1"/>
    </font>
    <font>
      <sz val="7"/>
      <name val="Times New Roman"/>
      <family val="1"/>
    </font>
    <font>
      <sz val="8.5"/>
      <name val="Times New Roman"/>
      <family val="1"/>
    </font>
    <font>
      <b/>
      <sz val="8.5"/>
      <name val="Times New Roman"/>
      <family val="1"/>
    </font>
    <font>
      <b/>
      <sz val="12"/>
      <color rgb="FF000000"/>
      <name val="Times New Roman"/>
      <family val="1"/>
    </font>
    <font>
      <sz val="9"/>
      <color rgb="FFFF0000"/>
      <name val="Times New Roman"/>
      <family val="1"/>
    </font>
  </fonts>
  <fills count="22">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gray125">
        <bgColor rgb="FFDFDFDF"/>
      </patternFill>
    </fill>
    <fill>
      <patternFill patternType="solid">
        <fgColor theme="4"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6" tint="0.39997558519241921"/>
        <bgColor indexed="64"/>
      </patternFill>
    </fill>
  </fills>
  <borders count="78">
    <border>
      <left/>
      <right/>
      <top/>
      <bottom/>
      <diagonal/>
    </border>
    <border>
      <left/>
      <right/>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style="thin">
        <color auto="1"/>
      </left>
      <right style="medium">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right style="thin">
        <color auto="1"/>
      </right>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medium">
        <color auto="1"/>
      </left>
      <right style="thin">
        <color auto="1"/>
      </right>
      <top style="hair">
        <color auto="1"/>
      </top>
      <bottom/>
      <diagonal/>
    </border>
    <border>
      <left style="thin">
        <color auto="1"/>
      </left>
      <right style="thin">
        <color auto="1"/>
      </right>
      <top style="hair">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hair">
        <color auto="1"/>
      </bottom>
      <diagonal/>
    </border>
    <border>
      <left style="thin">
        <color auto="1"/>
      </left>
      <right/>
      <top style="hair">
        <color auto="1"/>
      </top>
      <bottom/>
      <diagonal/>
    </border>
    <border>
      <left style="thin">
        <color auto="1"/>
      </left>
      <right style="medium">
        <color auto="1"/>
      </right>
      <top style="medium">
        <color auto="1"/>
      </top>
      <bottom style="hair">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double">
        <color auto="1"/>
      </left>
      <right style="medium">
        <color auto="1"/>
      </right>
      <top style="double">
        <color auto="1"/>
      </top>
      <bottom/>
      <diagonal/>
    </border>
    <border>
      <left style="double">
        <color auto="1"/>
      </left>
      <right style="medium">
        <color auto="1"/>
      </right>
      <top/>
      <bottom style="medium">
        <color auto="1"/>
      </bottom>
      <diagonal/>
    </border>
    <border>
      <left/>
      <right style="medium">
        <color auto="1"/>
      </right>
      <top style="double">
        <color auto="1"/>
      </top>
      <bottom style="medium">
        <color auto="1"/>
      </bottom>
      <diagonal/>
    </border>
    <border>
      <left/>
      <right style="double">
        <color auto="1"/>
      </right>
      <top style="double">
        <color auto="1"/>
      </top>
      <bottom style="medium">
        <color auto="1"/>
      </bottom>
      <diagonal/>
    </border>
    <border>
      <left/>
      <right style="double">
        <color auto="1"/>
      </right>
      <top/>
      <bottom style="medium">
        <color auto="1"/>
      </bottom>
      <diagonal/>
    </border>
    <border>
      <left style="double">
        <color auto="1"/>
      </left>
      <right style="medium">
        <color auto="1"/>
      </right>
      <top/>
      <bottom style="double">
        <color auto="1"/>
      </bottom>
      <diagonal/>
    </border>
    <border>
      <left/>
      <right style="medium">
        <color auto="1"/>
      </right>
      <top/>
      <bottom style="double">
        <color auto="1"/>
      </bottom>
      <diagonal/>
    </border>
    <border>
      <left/>
      <right style="double">
        <color auto="1"/>
      </right>
      <top/>
      <bottom style="double">
        <color auto="1"/>
      </bottom>
      <diagonal/>
    </border>
    <border>
      <left style="medium">
        <color auto="1"/>
      </left>
      <right/>
      <top style="double">
        <color auto="1"/>
      </top>
      <bottom style="medium">
        <color auto="1"/>
      </bottom>
      <diagonal/>
    </border>
    <border>
      <left style="medium">
        <color auto="1"/>
      </left>
      <right style="double">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style="double">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medium">
        <color auto="1"/>
      </top>
      <bottom style="medium">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hair">
        <color auto="1"/>
      </top>
      <bottom style="thin">
        <color auto="1"/>
      </bottom>
      <diagonal/>
    </border>
    <border>
      <left/>
      <right/>
      <top style="medium">
        <color auto="1"/>
      </top>
      <bottom style="hair">
        <color auto="1"/>
      </bottom>
      <diagonal/>
    </border>
    <border>
      <left/>
      <right/>
      <top style="hair">
        <color auto="1"/>
      </top>
      <bottom style="hair">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medium">
        <color auto="1"/>
      </bottom>
      <diagonal/>
    </border>
    <border>
      <left/>
      <right/>
      <top style="medium">
        <color indexed="64"/>
      </top>
      <bottom style="thick">
        <color indexed="64"/>
      </bottom>
      <diagonal/>
    </border>
    <border>
      <left/>
      <right/>
      <top/>
      <bottom style="thick">
        <color indexed="64"/>
      </bottom>
      <diagonal/>
    </border>
    <border>
      <left style="thin">
        <color auto="1"/>
      </left>
      <right style="slantDashDot">
        <color auto="1"/>
      </right>
      <top style="thin">
        <color auto="1"/>
      </top>
      <bottom style="medium">
        <color auto="1"/>
      </bottom>
      <diagonal/>
    </border>
  </borders>
  <cellStyleXfs count="11">
    <xf numFmtId="0" fontId="0" fillId="0" borderId="0"/>
    <xf numFmtId="0" fontId="15" fillId="0" borderId="0">
      <protection locked="0"/>
    </xf>
    <xf numFmtId="0" fontId="15" fillId="0" borderId="0">
      <protection locked="0"/>
    </xf>
    <xf numFmtId="0" fontId="15"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5" fillId="0" borderId="0">
      <protection locked="0"/>
    </xf>
    <xf numFmtId="0" fontId="15" fillId="0" borderId="0">
      <protection locked="0"/>
    </xf>
    <xf numFmtId="9" fontId="1" fillId="0" borderId="0" applyFont="0" applyFill="0" applyBorder="0" applyAlignment="0" applyProtection="0"/>
    <xf numFmtId="9" fontId="4" fillId="0" borderId="0" applyFont="0" applyFill="0" applyBorder="0" applyAlignment="0" applyProtection="0"/>
    <xf numFmtId="43" fontId="1" fillId="0" borderId="0" applyFont="0" applyFill="0" applyBorder="0" applyAlignment="0" applyProtection="0"/>
  </cellStyleXfs>
  <cellXfs count="342">
    <xf numFmtId="0" fontId="0" fillId="0" borderId="0" xfId="0"/>
    <xf numFmtId="0" fontId="2" fillId="0" borderId="0" xfId="0" applyFont="1" applyAlignment="1">
      <alignment horizontal="center"/>
    </xf>
    <xf numFmtId="0" fontId="0" fillId="0" borderId="0" xfId="0" applyBorder="1"/>
    <xf numFmtId="0" fontId="6" fillId="0" borderId="0" xfId="0" applyFont="1"/>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0" borderId="0" xfId="0" applyFont="1" applyAlignment="1">
      <alignment vertical="center" wrapText="1"/>
    </xf>
    <xf numFmtId="0" fontId="0" fillId="0" borderId="0" xfId="0" applyAlignment="1">
      <alignment vertical="center" wrapText="1"/>
    </xf>
    <xf numFmtId="0" fontId="14" fillId="0" borderId="10" xfId="0" applyFont="1" applyBorder="1" applyAlignment="1">
      <alignment horizontal="center"/>
    </xf>
    <xf numFmtId="0" fontId="14" fillId="0" borderId="0" xfId="0" applyFont="1" applyBorder="1" applyAlignment="1">
      <alignment horizontal="center"/>
    </xf>
    <xf numFmtId="0" fontId="13" fillId="0" borderId="0" xfId="0" applyFont="1"/>
    <xf numFmtId="0" fontId="14" fillId="0" borderId="0" xfId="0" applyFont="1"/>
    <xf numFmtId="0" fontId="14" fillId="0" borderId="11" xfId="0" applyFont="1" applyBorder="1"/>
    <xf numFmtId="0" fontId="12" fillId="0" borderId="12" xfId="0" applyFont="1" applyBorder="1" applyAlignment="1">
      <alignment horizontal="center"/>
    </xf>
    <xf numFmtId="3" fontId="12" fillId="0" borderId="12" xfId="0" applyNumberFormat="1" applyFont="1" applyBorder="1"/>
    <xf numFmtId="0" fontId="11" fillId="0" borderId="13" xfId="0" applyFont="1" applyBorder="1" applyAlignment="1">
      <alignment horizontal="center"/>
    </xf>
    <xf numFmtId="0" fontId="11" fillId="0" borderId="0" xfId="0" applyFont="1" applyBorder="1" applyAlignment="1">
      <alignment horizontal="center"/>
    </xf>
    <xf numFmtId="3" fontId="11" fillId="0" borderId="13" xfId="0" applyNumberFormat="1" applyFont="1" applyBorder="1"/>
    <xf numFmtId="0" fontId="14" fillId="0" borderId="14" xfId="0" applyFont="1" applyBorder="1"/>
    <xf numFmtId="0" fontId="14" fillId="0" borderId="15" xfId="0" applyFont="1" applyBorder="1"/>
    <xf numFmtId="0" fontId="4" fillId="0" borderId="0" xfId="0" applyFont="1" applyFill="1" applyBorder="1" applyAlignment="1">
      <alignment vertical="center"/>
    </xf>
    <xf numFmtId="3" fontId="17" fillId="0" borderId="8" xfId="0" applyNumberFormat="1" applyFont="1" applyBorder="1" applyAlignment="1">
      <alignment vertical="center"/>
    </xf>
    <xf numFmtId="0" fontId="17" fillId="0" borderId="8" xfId="0" applyFont="1" applyBorder="1" applyAlignment="1">
      <alignment vertical="center"/>
    </xf>
    <xf numFmtId="0" fontId="17" fillId="0" borderId="7" xfId="0" applyFont="1" applyBorder="1" applyAlignment="1">
      <alignment horizontal="left" vertical="center"/>
    </xf>
    <xf numFmtId="0" fontId="0" fillId="0" borderId="0" xfId="0" applyFill="1" applyAlignment="1">
      <alignment vertical="center" wrapText="1"/>
    </xf>
    <xf numFmtId="0" fontId="12" fillId="0" borderId="8" xfId="0" applyFont="1" applyFill="1" applyBorder="1" applyAlignment="1">
      <alignment horizontal="center" vertical="center" wrapText="1"/>
    </xf>
    <xf numFmtId="9" fontId="12" fillId="2" borderId="8" xfId="9" applyFont="1" applyFill="1" applyBorder="1" applyAlignment="1">
      <alignment horizontal="center" vertical="center" wrapText="1"/>
    </xf>
    <xf numFmtId="0" fontId="18" fillId="0" borderId="0" xfId="0" applyFont="1"/>
    <xf numFmtId="0" fontId="19" fillId="0" borderId="0" xfId="0" applyFont="1"/>
    <xf numFmtId="0" fontId="20" fillId="0" borderId="2" xfId="0" applyFont="1" applyBorder="1" applyAlignment="1">
      <alignment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horizontal="center" vertical="center"/>
    </xf>
    <xf numFmtId="0" fontId="19" fillId="0" borderId="4" xfId="0" applyFont="1" applyBorder="1" applyAlignment="1">
      <alignment vertical="center"/>
    </xf>
    <xf numFmtId="0" fontId="18" fillId="0" borderId="16" xfId="0" applyFont="1" applyBorder="1" applyAlignment="1">
      <alignment horizontal="center" vertical="center"/>
    </xf>
    <xf numFmtId="0" fontId="14" fillId="0" borderId="10" xfId="0" applyFont="1" applyBorder="1" applyAlignment="1">
      <alignment horizontal="center" vertical="center"/>
    </xf>
    <xf numFmtId="0" fontId="14" fillId="0" borderId="13" xfId="0" applyFont="1" applyBorder="1" applyAlignment="1">
      <alignment vertical="center"/>
    </xf>
    <xf numFmtId="0" fontId="14" fillId="0" borderId="0" xfId="0" applyFont="1" applyBorder="1" applyAlignment="1">
      <alignment horizontal="center" vertical="center"/>
    </xf>
    <xf numFmtId="3" fontId="14" fillId="0" borderId="13" xfId="0" applyNumberFormat="1" applyFont="1" applyBorder="1" applyAlignment="1">
      <alignment horizontal="center" vertical="center"/>
    </xf>
    <xf numFmtId="0" fontId="14" fillId="0" borderId="0" xfId="0" applyFont="1" applyBorder="1" applyAlignment="1">
      <alignment vertical="center"/>
    </xf>
    <xf numFmtId="3" fontId="14" fillId="0" borderId="13" xfId="0" applyNumberFormat="1" applyFont="1" applyBorder="1" applyAlignment="1">
      <alignment vertical="center"/>
    </xf>
    <xf numFmtId="0" fontId="14" fillId="0" borderId="13" xfId="0" applyFont="1" applyBorder="1" applyAlignment="1">
      <alignment horizontal="center" vertical="center"/>
    </xf>
    <xf numFmtId="3" fontId="14" fillId="0" borderId="18" xfId="0" applyNumberFormat="1" applyFont="1" applyBorder="1" applyAlignment="1">
      <alignment vertical="center"/>
    </xf>
    <xf numFmtId="0" fontId="14" fillId="0" borderId="10" xfId="0" applyFont="1" applyBorder="1" applyAlignment="1">
      <alignment vertical="center"/>
    </xf>
    <xf numFmtId="0" fontId="14" fillId="0" borderId="0" xfId="0" applyFont="1" applyAlignment="1">
      <alignment vertical="center"/>
    </xf>
    <xf numFmtId="0" fontId="0" fillId="0" borderId="0" xfId="0" applyAlignment="1">
      <alignment vertical="center"/>
    </xf>
    <xf numFmtId="3" fontId="0" fillId="0" borderId="0" xfId="0" applyNumberFormat="1"/>
    <xf numFmtId="0" fontId="9" fillId="0" borderId="24" xfId="0" applyFont="1" applyBorder="1" applyAlignment="1">
      <alignment horizontal="center" vertical="center"/>
    </xf>
    <xf numFmtId="0" fontId="9" fillId="0" borderId="25" xfId="0" applyFont="1" applyBorder="1" applyAlignment="1">
      <alignment vertical="center"/>
    </xf>
    <xf numFmtId="0" fontId="9" fillId="0" borderId="21" xfId="0" applyFont="1" applyBorder="1" applyAlignment="1">
      <alignment horizontal="center" vertical="center"/>
    </xf>
    <xf numFmtId="0" fontId="9" fillId="0" borderId="19" xfId="0" applyFont="1" applyBorder="1" applyAlignment="1">
      <alignment vertical="center"/>
    </xf>
    <xf numFmtId="0" fontId="6" fillId="0" borderId="19" xfId="0" applyFont="1" applyBorder="1" applyAlignment="1">
      <alignment vertical="center"/>
    </xf>
    <xf numFmtId="0" fontId="6" fillId="0" borderId="21" xfId="0" applyFont="1" applyBorder="1" applyAlignment="1">
      <alignment horizontal="center" vertical="center"/>
    </xf>
    <xf numFmtId="0" fontId="6" fillId="0" borderId="26" xfId="0" applyFont="1" applyBorder="1" applyAlignment="1">
      <alignment horizontal="center" vertical="center"/>
    </xf>
    <xf numFmtId="0" fontId="9" fillId="0" borderId="27" xfId="0" applyFont="1" applyBorder="1" applyAlignment="1">
      <alignment vertical="center"/>
    </xf>
    <xf numFmtId="0" fontId="6" fillId="0" borderId="28" xfId="0" applyFont="1" applyBorder="1" applyAlignment="1">
      <alignment vertical="center"/>
    </xf>
    <xf numFmtId="0" fontId="7" fillId="0" borderId="29" xfId="0" applyFont="1" applyBorder="1" applyAlignment="1">
      <alignment horizontal="center" vertical="center"/>
    </xf>
    <xf numFmtId="3" fontId="9" fillId="3" borderId="25" xfId="0" applyNumberFormat="1" applyFont="1" applyFill="1" applyBorder="1" applyAlignment="1">
      <alignment horizontal="right" vertical="center"/>
    </xf>
    <xf numFmtId="0" fontId="18" fillId="0" borderId="0" xfId="0" applyFont="1" applyBorder="1"/>
    <xf numFmtId="0" fontId="9" fillId="0" borderId="19" xfId="0" applyFont="1" applyBorder="1" applyAlignment="1">
      <alignment vertical="center" wrapText="1"/>
    </xf>
    <xf numFmtId="0" fontId="7" fillId="4" borderId="38" xfId="0" applyFont="1" applyFill="1" applyBorder="1" applyAlignment="1">
      <alignment horizontal="center" vertical="center"/>
    </xf>
    <xf numFmtId="3" fontId="8" fillId="4" borderId="28" xfId="0" applyNumberFormat="1" applyFont="1" applyFill="1" applyBorder="1" applyAlignment="1">
      <alignment horizontal="right" vertical="center"/>
    </xf>
    <xf numFmtId="0" fontId="18" fillId="0" borderId="0" xfId="0" applyFont="1" applyAlignment="1">
      <alignment vertical="center"/>
    </xf>
    <xf numFmtId="0" fontId="12" fillId="0" borderId="0" xfId="0" applyFont="1" applyAlignment="1">
      <alignment vertical="center"/>
    </xf>
    <xf numFmtId="0" fontId="0" fillId="0" borderId="0" xfId="0" applyFill="1" applyAlignment="1">
      <alignment vertical="center"/>
    </xf>
    <xf numFmtId="3" fontId="0" fillId="0" borderId="0" xfId="0" applyNumberFormat="1" applyAlignment="1">
      <alignment vertical="center"/>
    </xf>
    <xf numFmtId="0" fontId="17" fillId="3" borderId="8" xfId="0" applyFont="1" applyFill="1" applyBorder="1" applyAlignment="1">
      <alignment vertical="center"/>
    </xf>
    <xf numFmtId="3" fontId="17" fillId="3" borderId="8" xfId="0" applyNumberFormat="1" applyFont="1" applyFill="1" applyBorder="1" applyAlignment="1">
      <alignment vertical="center"/>
    </xf>
    <xf numFmtId="0" fontId="17" fillId="3" borderId="7" xfId="0" applyFont="1" applyFill="1" applyBorder="1" applyAlignment="1">
      <alignment horizontal="left" vertical="center"/>
    </xf>
    <xf numFmtId="0" fontId="5" fillId="5" borderId="7" xfId="0" applyFont="1" applyFill="1" applyBorder="1" applyAlignment="1">
      <alignment horizontal="right" vertical="center"/>
    </xf>
    <xf numFmtId="0" fontId="5" fillId="5" borderId="8" xfId="0" applyFont="1" applyFill="1" applyBorder="1" applyAlignment="1">
      <alignment vertical="center"/>
    </xf>
    <xf numFmtId="3" fontId="5" fillId="5" borderId="8" xfId="0" applyNumberFormat="1" applyFont="1" applyFill="1" applyBorder="1" applyAlignment="1">
      <alignment vertical="center"/>
    </xf>
    <xf numFmtId="0" fontId="17" fillId="0" borderId="7" xfId="0" applyFont="1" applyBorder="1" applyAlignment="1">
      <alignment horizontal="left" vertical="center" wrapText="1"/>
    </xf>
    <xf numFmtId="10" fontId="0" fillId="0" borderId="0" xfId="8" applyNumberFormat="1" applyFont="1"/>
    <xf numFmtId="3" fontId="0" fillId="8" borderId="0" xfId="0" applyNumberFormat="1" applyFill="1"/>
    <xf numFmtId="3" fontId="0" fillId="6" borderId="0" xfId="0" applyNumberFormat="1" applyFill="1"/>
    <xf numFmtId="3" fontId="0" fillId="7" borderId="0" xfId="0" applyNumberFormat="1" applyFill="1"/>
    <xf numFmtId="3" fontId="0" fillId="9" borderId="0" xfId="0" applyNumberFormat="1" applyFill="1"/>
    <xf numFmtId="9" fontId="0" fillId="0" borderId="0" xfId="8" applyNumberFormat="1" applyFont="1"/>
    <xf numFmtId="0" fontId="3" fillId="10" borderId="16" xfId="0" applyFont="1" applyFill="1" applyBorder="1" applyAlignment="1">
      <alignment horizontal="center" vertical="center" wrapText="1"/>
    </xf>
    <xf numFmtId="0" fontId="3" fillId="10" borderId="47" xfId="0" applyFont="1" applyFill="1" applyBorder="1" applyAlignment="1">
      <alignment horizontal="center" vertical="center" wrapText="1"/>
    </xf>
    <xf numFmtId="0" fontId="17" fillId="0" borderId="44" xfId="0" applyFont="1" applyBorder="1" applyAlignment="1">
      <alignment vertical="center" wrapText="1"/>
    </xf>
    <xf numFmtId="0" fontId="3" fillId="0" borderId="48" xfId="0" applyFont="1" applyBorder="1" applyAlignment="1">
      <alignment horizontal="center" vertical="center" wrapText="1"/>
    </xf>
    <xf numFmtId="0" fontId="3" fillId="0" borderId="49" xfId="0" applyFont="1" applyBorder="1" applyAlignment="1">
      <alignment horizontal="right" vertical="center" wrapText="1"/>
    </xf>
    <xf numFmtId="0" fontId="3" fillId="0" borderId="50" xfId="0" applyFont="1" applyBorder="1" applyAlignment="1">
      <alignment horizontal="right" vertical="center" wrapText="1"/>
    </xf>
    <xf numFmtId="164" fontId="17" fillId="0" borderId="16" xfId="10" applyNumberFormat="1" applyFont="1" applyBorder="1" applyAlignment="1">
      <alignment horizontal="right" vertical="center" wrapText="1"/>
    </xf>
    <xf numFmtId="164" fontId="3" fillId="0" borderId="49" xfId="0" applyNumberFormat="1" applyFont="1" applyBorder="1" applyAlignment="1">
      <alignment horizontal="right" vertical="center" wrapText="1"/>
    </xf>
    <xf numFmtId="164" fontId="3" fillId="0" borderId="49" xfId="10" applyNumberFormat="1" applyFont="1" applyBorder="1" applyAlignment="1">
      <alignment horizontal="right" vertical="center" wrapText="1"/>
    </xf>
    <xf numFmtId="0" fontId="1" fillId="0" borderId="0" xfId="0" applyFont="1"/>
    <xf numFmtId="0" fontId="0" fillId="3" borderId="0" xfId="0" applyFill="1"/>
    <xf numFmtId="0" fontId="18" fillId="3" borderId="0" xfId="0" applyFont="1" applyFill="1"/>
    <xf numFmtId="0" fontId="18" fillId="3" borderId="53" xfId="0" applyFont="1" applyFill="1" applyBorder="1"/>
    <xf numFmtId="0" fontId="18" fillId="3" borderId="54" xfId="0" applyFont="1" applyFill="1" applyBorder="1"/>
    <xf numFmtId="0" fontId="18" fillId="3" borderId="28" xfId="0" applyFont="1" applyFill="1" applyBorder="1"/>
    <xf numFmtId="0" fontId="18" fillId="11" borderId="55" xfId="0" applyFont="1" applyFill="1" applyBorder="1"/>
    <xf numFmtId="164" fontId="18" fillId="11" borderId="55" xfId="0" applyNumberFormat="1" applyFont="1" applyFill="1" applyBorder="1"/>
    <xf numFmtId="164" fontId="18" fillId="3" borderId="56" xfId="10" applyNumberFormat="1" applyFont="1" applyFill="1" applyBorder="1"/>
    <xf numFmtId="164" fontId="18" fillId="3" borderId="7" xfId="10" applyNumberFormat="1" applyFont="1" applyFill="1" applyBorder="1"/>
    <xf numFmtId="164" fontId="18" fillId="3" borderId="37" xfId="10" applyNumberFormat="1" applyFont="1" applyFill="1" applyBorder="1"/>
    <xf numFmtId="9" fontId="18" fillId="11" borderId="55" xfId="0" applyNumberFormat="1" applyFont="1" applyFill="1" applyBorder="1" applyAlignment="1">
      <alignment horizontal="center"/>
    </xf>
    <xf numFmtId="9" fontId="18" fillId="3" borderId="57" xfId="8" applyFont="1" applyFill="1" applyBorder="1" applyAlignment="1">
      <alignment horizontal="center"/>
    </xf>
    <xf numFmtId="9" fontId="18" fillId="3" borderId="58" xfId="8" applyFont="1" applyFill="1" applyBorder="1" applyAlignment="1">
      <alignment horizontal="center"/>
    </xf>
    <xf numFmtId="9" fontId="18" fillId="3" borderId="59" xfId="8" applyFont="1" applyFill="1" applyBorder="1" applyAlignment="1">
      <alignment horizontal="center"/>
    </xf>
    <xf numFmtId="3" fontId="18" fillId="11" borderId="55" xfId="0" applyNumberFormat="1" applyFont="1" applyFill="1" applyBorder="1"/>
    <xf numFmtId="1" fontId="14" fillId="0" borderId="13" xfId="0" applyNumberFormat="1" applyFont="1" applyBorder="1" applyAlignment="1">
      <alignment horizontal="center" vertical="center"/>
    </xf>
    <xf numFmtId="3" fontId="3" fillId="0" borderId="29" xfId="0" applyNumberFormat="1" applyFont="1" applyBorder="1" applyAlignment="1">
      <alignment horizontal="right" vertical="center"/>
    </xf>
    <xf numFmtId="0" fontId="21" fillId="0" borderId="0" xfId="0" applyFont="1"/>
    <xf numFmtId="3" fontId="21" fillId="0" borderId="0" xfId="0" applyNumberFormat="1" applyFont="1"/>
    <xf numFmtId="164" fontId="0" fillId="0" borderId="0" xfId="10" applyNumberFormat="1" applyFont="1"/>
    <xf numFmtId="164" fontId="0" fillId="0" borderId="0" xfId="0" applyNumberFormat="1"/>
    <xf numFmtId="43" fontId="0" fillId="0" borderId="0" xfId="0" applyNumberFormat="1"/>
    <xf numFmtId="0" fontId="21" fillId="0" borderId="0" xfId="0" applyFont="1" applyAlignment="1">
      <alignment vertical="center"/>
    </xf>
    <xf numFmtId="0" fontId="21" fillId="0" borderId="0" xfId="0" applyFont="1" applyFill="1"/>
    <xf numFmtId="3" fontId="7" fillId="9" borderId="25" xfId="0" applyNumberFormat="1" applyFont="1" applyFill="1" applyBorder="1" applyAlignment="1">
      <alignment vertical="center"/>
    </xf>
    <xf numFmtId="0" fontId="22" fillId="5" borderId="7" xfId="0" applyFont="1" applyFill="1" applyBorder="1"/>
    <xf numFmtId="0" fontId="22" fillId="5" borderId="9" xfId="0" applyFont="1" applyFill="1" applyBorder="1"/>
    <xf numFmtId="0" fontId="23" fillId="5" borderId="9" xfId="0" applyFont="1" applyFill="1" applyBorder="1" applyAlignment="1">
      <alignment horizontal="center"/>
    </xf>
    <xf numFmtId="0" fontId="23" fillId="5" borderId="23" xfId="0" applyFont="1" applyFill="1" applyBorder="1" applyAlignment="1">
      <alignment horizontal="center"/>
    </xf>
    <xf numFmtId="0" fontId="22" fillId="0" borderId="0" xfId="0" applyFont="1"/>
    <xf numFmtId="0" fontId="22" fillId="4" borderId="9" xfId="0" applyFont="1" applyFill="1" applyBorder="1"/>
    <xf numFmtId="0" fontId="22" fillId="4" borderId="23" xfId="0" applyFont="1" applyFill="1" applyBorder="1"/>
    <xf numFmtId="0" fontId="22" fillId="0" borderId="61" xfId="0" applyFont="1" applyBorder="1"/>
    <xf numFmtId="0" fontId="22" fillId="0" borderId="61" xfId="0" applyFont="1" applyBorder="1" applyAlignment="1">
      <alignment horizontal="center"/>
    </xf>
    <xf numFmtId="0" fontId="23" fillId="5" borderId="8" xfId="0" applyFont="1" applyFill="1" applyBorder="1" applyAlignment="1">
      <alignment horizontal="center"/>
    </xf>
    <xf numFmtId="0" fontId="22" fillId="0" borderId="10" xfId="0" applyFont="1" applyBorder="1"/>
    <xf numFmtId="0" fontId="22" fillId="0" borderId="0" xfId="0" applyFont="1" applyBorder="1"/>
    <xf numFmtId="0" fontId="22" fillId="0" borderId="0" xfId="0" applyFont="1" applyBorder="1" applyAlignment="1">
      <alignment horizontal="center"/>
    </xf>
    <xf numFmtId="0" fontId="25" fillId="14" borderId="7" xfId="0" applyFont="1" applyFill="1" applyBorder="1"/>
    <xf numFmtId="0" fontId="22" fillId="14" borderId="9" xfId="0" applyFont="1" applyFill="1" applyBorder="1"/>
    <xf numFmtId="0" fontId="22" fillId="14" borderId="61" xfId="0" applyFont="1" applyFill="1" applyBorder="1"/>
    <xf numFmtId="0" fontId="22" fillId="14" borderId="62" xfId="0" applyFont="1" applyFill="1" applyBorder="1"/>
    <xf numFmtId="164" fontId="22" fillId="0" borderId="0" xfId="10" applyNumberFormat="1" applyFont="1" applyBorder="1" applyAlignment="1">
      <alignment horizontal="center"/>
    </xf>
    <xf numFmtId="0" fontId="22" fillId="0" borderId="8" xfId="0" applyFont="1" applyBorder="1" applyAlignment="1">
      <alignment horizontal="center"/>
    </xf>
    <xf numFmtId="164" fontId="22" fillId="0" borderId="8" xfId="10" applyNumberFormat="1" applyFont="1" applyBorder="1" applyAlignment="1">
      <alignment horizontal="center"/>
    </xf>
    <xf numFmtId="164" fontId="22" fillId="0" borderId="11" xfId="10" applyNumberFormat="1" applyFont="1" applyBorder="1" applyAlignment="1">
      <alignment horizontal="center"/>
    </xf>
    <xf numFmtId="0" fontId="24" fillId="4" borderId="7" xfId="0" applyFont="1" applyFill="1" applyBorder="1" applyAlignment="1">
      <alignment horizontal="left" vertical="center"/>
    </xf>
    <xf numFmtId="0" fontId="22" fillId="0" borderId="14" xfId="0" applyFont="1" applyBorder="1"/>
    <xf numFmtId="0" fontId="22" fillId="0" borderId="15" xfId="0" applyFont="1" applyBorder="1"/>
    <xf numFmtId="0" fontId="22" fillId="14" borderId="23" xfId="0" applyFont="1" applyFill="1" applyBorder="1"/>
    <xf numFmtId="0" fontId="22" fillId="0" borderId="15" xfId="0" applyFont="1" applyBorder="1" applyAlignment="1">
      <alignment horizontal="center"/>
    </xf>
    <xf numFmtId="164" fontId="22" fillId="0" borderId="15" xfId="10" applyNumberFormat="1" applyFont="1" applyBorder="1" applyAlignment="1">
      <alignment horizontal="center"/>
    </xf>
    <xf numFmtId="0" fontId="23" fillId="15" borderId="7" xfId="0" applyFont="1" applyFill="1" applyBorder="1"/>
    <xf numFmtId="0" fontId="22" fillId="15" borderId="9" xfId="0" applyFont="1" applyFill="1" applyBorder="1"/>
    <xf numFmtId="0" fontId="23" fillId="15" borderId="8" xfId="0" applyFont="1" applyFill="1" applyBorder="1" applyAlignment="1">
      <alignment horizontal="center"/>
    </xf>
    <xf numFmtId="164" fontId="23" fillId="15" borderId="8" xfId="10" applyNumberFormat="1" applyFont="1" applyFill="1" applyBorder="1" applyAlignment="1">
      <alignment horizontal="center"/>
    </xf>
    <xf numFmtId="0" fontId="22" fillId="15" borderId="8" xfId="0" applyFont="1" applyFill="1" applyBorder="1" applyAlignment="1">
      <alignment horizontal="center"/>
    </xf>
    <xf numFmtId="0" fontId="22" fillId="0" borderId="0" xfId="0" applyFont="1" applyAlignment="1">
      <alignment horizontal="center"/>
    </xf>
    <xf numFmtId="3" fontId="21" fillId="0" borderId="0" xfId="0" applyNumberFormat="1" applyFont="1" applyFill="1"/>
    <xf numFmtId="0" fontId="0" fillId="0" borderId="0" xfId="0" applyFill="1"/>
    <xf numFmtId="3" fontId="8" fillId="0" borderId="35" xfId="0" applyNumberFormat="1" applyFont="1" applyBorder="1" applyAlignment="1">
      <alignment horizontal="right" vertical="center"/>
    </xf>
    <xf numFmtId="3" fontId="9" fillId="3" borderId="19" xfId="0" applyNumberFormat="1" applyFont="1" applyFill="1" applyBorder="1" applyAlignment="1">
      <alignment horizontal="right" vertical="center"/>
    </xf>
    <xf numFmtId="3" fontId="9" fillId="3" borderId="65" xfId="0" applyNumberFormat="1" applyFont="1" applyFill="1" applyBorder="1" applyAlignment="1">
      <alignment horizontal="right" vertical="center"/>
    </xf>
    <xf numFmtId="3" fontId="9" fillId="4" borderId="66" xfId="0" applyNumberFormat="1" applyFont="1" applyFill="1" applyBorder="1" applyAlignment="1">
      <alignment horizontal="right" vertical="center"/>
    </xf>
    <xf numFmtId="3" fontId="9" fillId="4" borderId="67" xfId="0" applyNumberFormat="1" applyFont="1" applyFill="1" applyBorder="1" applyAlignment="1">
      <alignment horizontal="right" vertical="center"/>
    </xf>
    <xf numFmtId="0" fontId="0" fillId="3" borderId="0" xfId="0" applyFill="1" applyBorder="1"/>
    <xf numFmtId="3" fontId="14" fillId="0" borderId="0" xfId="0" applyNumberFormat="1" applyFont="1" applyAlignment="1">
      <alignment vertical="center"/>
    </xf>
    <xf numFmtId="0" fontId="3" fillId="0" borderId="7" xfId="0" applyFont="1" applyFill="1" applyBorder="1" applyAlignment="1">
      <alignment horizontal="left" vertical="center" wrapText="1"/>
    </xf>
    <xf numFmtId="0" fontId="3" fillId="3" borderId="8" xfId="0" applyFont="1" applyFill="1" applyBorder="1" applyAlignment="1">
      <alignment horizontal="left" vertical="center"/>
    </xf>
    <xf numFmtId="0" fontId="3" fillId="0" borderId="7" xfId="0" applyFont="1" applyBorder="1" applyAlignment="1">
      <alignment horizontal="left" vertical="center"/>
    </xf>
    <xf numFmtId="0" fontId="17" fillId="0" borderId="8" xfId="0" applyFont="1" applyBorder="1" applyAlignment="1">
      <alignment horizontal="left" vertical="center"/>
    </xf>
    <xf numFmtId="3" fontId="5" fillId="16" borderId="8" xfId="0" applyNumberFormat="1" applyFont="1" applyFill="1" applyBorder="1" applyAlignment="1">
      <alignment vertical="center"/>
    </xf>
    <xf numFmtId="0" fontId="17" fillId="17" borderId="8" xfId="0" applyFont="1" applyFill="1" applyBorder="1" applyAlignment="1">
      <alignment vertical="center"/>
    </xf>
    <xf numFmtId="3" fontId="0" fillId="18" borderId="0" xfId="0" applyNumberFormat="1" applyFill="1"/>
    <xf numFmtId="0" fontId="17" fillId="17" borderId="8" xfId="0" applyFont="1" applyFill="1" applyBorder="1" applyAlignment="1">
      <alignment horizontal="left" vertical="center" wrapText="1"/>
    </xf>
    <xf numFmtId="0" fontId="18" fillId="5" borderId="3" xfId="0" applyFont="1" applyFill="1" applyBorder="1" applyAlignment="1">
      <alignment horizontal="center"/>
    </xf>
    <xf numFmtId="0" fontId="18" fillId="3" borderId="70" xfId="0" applyFont="1" applyFill="1" applyBorder="1"/>
    <xf numFmtId="0" fontId="18" fillId="3" borderId="71" xfId="0" applyFont="1" applyFill="1" applyBorder="1"/>
    <xf numFmtId="0" fontId="18" fillId="3" borderId="72" xfId="0" applyFont="1" applyFill="1" applyBorder="1"/>
    <xf numFmtId="0" fontId="18" fillId="5" borderId="2" xfId="0" applyFont="1" applyFill="1" applyBorder="1" applyAlignment="1">
      <alignment horizontal="center"/>
    </xf>
    <xf numFmtId="3" fontId="18" fillId="0" borderId="57" xfId="0" applyNumberFormat="1" applyFont="1" applyFill="1" applyBorder="1"/>
    <xf numFmtId="3" fontId="18" fillId="0" borderId="58" xfId="0" applyNumberFormat="1" applyFont="1" applyFill="1" applyBorder="1"/>
    <xf numFmtId="3" fontId="18" fillId="0" borderId="59" xfId="0" applyNumberFormat="1" applyFont="1" applyFill="1" applyBorder="1"/>
    <xf numFmtId="9" fontId="18" fillId="3" borderId="73" xfId="8" applyFont="1" applyFill="1" applyBorder="1" applyAlignment="1">
      <alignment horizontal="center"/>
    </xf>
    <xf numFmtId="3" fontId="0" fillId="19" borderId="0" xfId="0" applyNumberFormat="1" applyFill="1"/>
    <xf numFmtId="0" fontId="18" fillId="5" borderId="42" xfId="0" applyFont="1" applyFill="1" applyBorder="1" applyAlignment="1"/>
    <xf numFmtId="0" fontId="18" fillId="5" borderId="60" xfId="0" applyFont="1" applyFill="1" applyBorder="1" applyAlignment="1"/>
    <xf numFmtId="0" fontId="18" fillId="5" borderId="17" xfId="0" applyFont="1" applyFill="1" applyBorder="1" applyAlignment="1"/>
    <xf numFmtId="0" fontId="18" fillId="3" borderId="60" xfId="0" applyFont="1" applyFill="1" applyBorder="1" applyAlignment="1"/>
    <xf numFmtId="0" fontId="18" fillId="3" borderId="0" xfId="0" applyFont="1" applyFill="1" applyBorder="1" applyAlignment="1"/>
    <xf numFmtId="9" fontId="17" fillId="0" borderId="16" xfId="8" applyFont="1" applyBorder="1" applyAlignment="1">
      <alignment horizontal="center" vertical="center" wrapText="1"/>
    </xf>
    <xf numFmtId="9" fontId="17" fillId="0" borderId="52" xfId="8" applyFont="1" applyBorder="1" applyAlignment="1">
      <alignment horizontal="center" vertical="center" wrapText="1"/>
    </xf>
    <xf numFmtId="0" fontId="1" fillId="3" borderId="0" xfId="0" applyFont="1" applyFill="1"/>
    <xf numFmtId="43" fontId="0" fillId="3" borderId="0" xfId="10" applyFont="1" applyFill="1"/>
    <xf numFmtId="0" fontId="18" fillId="3" borderId="0" xfId="0" applyFont="1" applyFill="1" applyBorder="1"/>
    <xf numFmtId="0" fontId="18" fillId="3" borderId="1" xfId="0" applyFont="1" applyFill="1" applyBorder="1" applyAlignment="1"/>
    <xf numFmtId="0" fontId="0" fillId="0" borderId="0" xfId="0" applyNumberFormat="1"/>
    <xf numFmtId="0" fontId="12" fillId="2" borderId="8" xfId="0" applyFont="1" applyFill="1" applyBorder="1" applyAlignment="1">
      <alignment horizontal="left" vertical="center" wrapText="1"/>
    </xf>
    <xf numFmtId="0" fontId="0" fillId="5" borderId="74" xfId="0" applyFill="1" applyBorder="1"/>
    <xf numFmtId="164" fontId="22" fillId="0" borderId="0" xfId="0" applyNumberFormat="1" applyFont="1" applyAlignment="1">
      <alignment horizontal="center"/>
    </xf>
    <xf numFmtId="43" fontId="14" fillId="0" borderId="0" xfId="10" applyFont="1" applyAlignment="1">
      <alignment vertical="center"/>
    </xf>
    <xf numFmtId="43" fontId="14" fillId="0" borderId="0" xfId="10" applyFont="1"/>
    <xf numFmtId="3" fontId="18" fillId="8" borderId="0" xfId="0" applyNumberFormat="1" applyFont="1" applyFill="1"/>
    <xf numFmtId="0" fontId="0" fillId="0" borderId="0" xfId="0" applyAlignment="1">
      <alignment horizontal="right"/>
    </xf>
    <xf numFmtId="0" fontId="22" fillId="0" borderId="0" xfId="0" applyFont="1" applyBorder="1" applyAlignment="1">
      <alignment horizontal="left" wrapText="1"/>
    </xf>
    <xf numFmtId="0" fontId="22" fillId="0" borderId="9" xfId="0" applyFont="1" applyBorder="1" applyAlignment="1">
      <alignment horizontal="left" wrapText="1"/>
    </xf>
    <xf numFmtId="0" fontId="28" fillId="0" borderId="75" xfId="0" applyFont="1" applyBorder="1" applyAlignment="1">
      <alignment horizontal="left" vertical="center" wrapText="1" indent="2"/>
    </xf>
    <xf numFmtId="0" fontId="28" fillId="0" borderId="75" xfId="0" applyFont="1" applyBorder="1" applyAlignment="1">
      <alignment horizontal="right" vertical="center" wrapText="1"/>
    </xf>
    <xf numFmtId="0" fontId="29" fillId="0" borderId="0" xfId="0" applyFont="1" applyAlignment="1">
      <alignment horizontal="justify" vertical="center" wrapText="1"/>
    </xf>
    <xf numFmtId="0" fontId="29" fillId="0" borderId="0" xfId="0" applyFont="1" applyAlignment="1">
      <alignment horizontal="right" vertical="center" wrapText="1"/>
    </xf>
    <xf numFmtId="0" fontId="30" fillId="0" borderId="0" xfId="0" applyFont="1" applyAlignment="1">
      <alignment vertical="center" wrapText="1"/>
    </xf>
    <xf numFmtId="0" fontId="31" fillId="0" borderId="0" xfId="0" applyFont="1" applyAlignment="1">
      <alignment horizontal="right" vertical="center" wrapText="1"/>
    </xf>
    <xf numFmtId="0" fontId="9" fillId="0" borderId="0" xfId="0" applyFont="1" applyAlignment="1">
      <alignment horizontal="justify" vertical="center" wrapText="1"/>
    </xf>
    <xf numFmtId="0" fontId="33" fillId="0" borderId="0" xfId="0" applyFont="1" applyAlignment="1">
      <alignment horizontal="justify" vertical="center" wrapText="1"/>
    </xf>
    <xf numFmtId="0" fontId="31" fillId="0" borderId="0" xfId="0" applyFont="1" applyAlignment="1">
      <alignment horizontal="justify" vertical="center" wrapText="1"/>
    </xf>
    <xf numFmtId="0" fontId="31" fillId="0" borderId="0" xfId="0" applyFont="1" applyAlignment="1">
      <alignment vertical="center" wrapText="1"/>
    </xf>
    <xf numFmtId="0" fontId="22" fillId="0" borderId="0" xfId="0" applyFont="1" applyBorder="1" applyAlignment="1">
      <alignment horizontal="left" wrapText="1"/>
    </xf>
    <xf numFmtId="0" fontId="22" fillId="0" borderId="9" xfId="0" applyFont="1" applyBorder="1" applyAlignment="1">
      <alignment horizontal="left" wrapText="1"/>
    </xf>
    <xf numFmtId="0" fontId="29" fillId="0" borderId="0" xfId="0" applyFont="1" applyAlignment="1">
      <alignment horizontal="left" vertical="center" wrapText="1" indent="1"/>
    </xf>
    <xf numFmtId="0" fontId="34" fillId="0" borderId="0" xfId="0" applyFont="1" applyAlignment="1">
      <alignment horizontal="justify" vertical="center" wrapText="1"/>
    </xf>
    <xf numFmtId="0" fontId="9" fillId="0" borderId="0" xfId="0" applyFont="1" applyAlignment="1">
      <alignment vertical="center" wrapText="1"/>
    </xf>
    <xf numFmtId="164" fontId="22" fillId="0" borderId="8" xfId="10" applyNumberFormat="1" applyFont="1" applyFill="1" applyBorder="1" applyAlignment="1">
      <alignment horizontal="center"/>
    </xf>
    <xf numFmtId="164" fontId="22" fillId="0" borderId="11" xfId="10" applyNumberFormat="1" applyFont="1" applyFill="1" applyBorder="1" applyAlignment="1">
      <alignment horizontal="center"/>
    </xf>
    <xf numFmtId="164" fontId="22" fillId="0" borderId="0" xfId="10" applyNumberFormat="1" applyFont="1" applyFill="1" applyBorder="1" applyAlignment="1">
      <alignment horizontal="center"/>
    </xf>
    <xf numFmtId="0" fontId="35" fillId="0" borderId="0" xfId="0" applyFont="1" applyAlignment="1">
      <alignment horizontal="justify" vertical="center" wrapText="1"/>
    </xf>
    <xf numFmtId="0" fontId="22" fillId="0" borderId="10" xfId="0" applyFont="1" applyBorder="1" applyAlignment="1"/>
    <xf numFmtId="0" fontId="22" fillId="0" borderId="0" xfId="0" applyFont="1" applyBorder="1" applyAlignment="1"/>
    <xf numFmtId="0" fontId="22" fillId="0" borderId="0" xfId="0" applyFont="1" applyAlignment="1"/>
    <xf numFmtId="43" fontId="0" fillId="0" borderId="0" xfId="10" applyFont="1"/>
    <xf numFmtId="0" fontId="18" fillId="0" borderId="0" xfId="0" applyFont="1" applyAlignment="1">
      <alignment horizontal="right"/>
    </xf>
    <xf numFmtId="164" fontId="18" fillId="0" borderId="9" xfId="10" applyNumberFormat="1" applyFont="1" applyBorder="1"/>
    <xf numFmtId="3" fontId="8" fillId="4" borderId="77" xfId="0" applyNumberFormat="1" applyFont="1" applyFill="1" applyBorder="1" applyAlignment="1">
      <alignment horizontal="right" vertical="center"/>
    </xf>
    <xf numFmtId="164" fontId="18" fillId="0" borderId="0" xfId="0" applyNumberFormat="1" applyFont="1"/>
    <xf numFmtId="9" fontId="0" fillId="0" borderId="0" xfId="8" applyFont="1"/>
    <xf numFmtId="0" fontId="18" fillId="0" borderId="0" xfId="0" applyFont="1" applyFill="1" applyBorder="1" applyAlignment="1"/>
    <xf numFmtId="0" fontId="18" fillId="5" borderId="42" xfId="0" applyFont="1" applyFill="1" applyBorder="1" applyAlignment="1">
      <alignment horizontal="center"/>
    </xf>
    <xf numFmtId="0" fontId="18" fillId="5" borderId="17" xfId="0" applyFont="1" applyFill="1" applyBorder="1" applyAlignment="1">
      <alignment horizontal="center"/>
    </xf>
    <xf numFmtId="0" fontId="7" fillId="4" borderId="39"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36" xfId="0" applyFont="1" applyFill="1" applyBorder="1" applyAlignment="1">
      <alignment horizontal="center" vertical="center"/>
    </xf>
    <xf numFmtId="164" fontId="7" fillId="9" borderId="19" xfId="10" applyNumberFormat="1" applyFont="1" applyFill="1" applyBorder="1" applyAlignment="1">
      <alignment vertical="center"/>
    </xf>
    <xf numFmtId="164" fontId="9" fillId="12" borderId="30" xfId="10" applyNumberFormat="1" applyFont="1" applyFill="1" applyBorder="1" applyAlignment="1">
      <alignment horizontal="right" vertical="center"/>
    </xf>
    <xf numFmtId="164" fontId="9" fillId="4" borderId="30" xfId="10" applyNumberFormat="1" applyFont="1" applyFill="1" applyBorder="1" applyAlignment="1">
      <alignment horizontal="right" vertical="center"/>
    </xf>
    <xf numFmtId="164" fontId="9" fillId="12" borderId="20" xfId="10" applyNumberFormat="1" applyFont="1" applyFill="1" applyBorder="1" applyAlignment="1">
      <alignment horizontal="right" vertical="center"/>
    </xf>
    <xf numFmtId="164" fontId="9" fillId="4" borderId="20" xfId="10" applyNumberFormat="1" applyFont="1" applyFill="1" applyBorder="1" applyAlignment="1">
      <alignment horizontal="right" vertical="center"/>
    </xf>
    <xf numFmtId="164" fontId="9" fillId="13" borderId="22" xfId="10" applyNumberFormat="1" applyFont="1" applyFill="1" applyBorder="1" applyAlignment="1">
      <alignment horizontal="right" vertical="center"/>
    </xf>
    <xf numFmtId="164" fontId="7" fillId="9" borderId="25" xfId="10" applyNumberFormat="1" applyFont="1" applyFill="1" applyBorder="1" applyAlignment="1">
      <alignment vertical="center"/>
    </xf>
    <xf numFmtId="164" fontId="3" fillId="0" borderId="29" xfId="10" applyNumberFormat="1" applyFont="1" applyBorder="1" applyAlignment="1">
      <alignment horizontal="right" vertical="center"/>
    </xf>
    <xf numFmtId="164" fontId="9" fillId="13" borderId="32" xfId="10" applyNumberFormat="1" applyFont="1" applyFill="1" applyBorder="1" applyAlignment="1">
      <alignment horizontal="right" vertical="center"/>
    </xf>
    <xf numFmtId="164" fontId="36" fillId="13" borderId="22" xfId="10" applyNumberFormat="1" applyFont="1" applyFill="1" applyBorder="1" applyAlignment="1">
      <alignment horizontal="right" vertical="center"/>
    </xf>
    <xf numFmtId="164" fontId="9" fillId="12" borderId="31" xfId="10" applyNumberFormat="1" applyFont="1" applyFill="1" applyBorder="1" applyAlignment="1">
      <alignment horizontal="right" vertical="center"/>
    </xf>
    <xf numFmtId="164" fontId="9" fillId="4" borderId="31" xfId="10" applyNumberFormat="1" applyFont="1" applyFill="1" applyBorder="1" applyAlignment="1">
      <alignment horizontal="right" vertical="center"/>
    </xf>
    <xf numFmtId="164" fontId="9" fillId="15" borderId="25" xfId="10" applyNumberFormat="1" applyFont="1" applyFill="1" applyBorder="1" applyAlignment="1">
      <alignment horizontal="right" vertical="center"/>
    </xf>
    <xf numFmtId="164" fontId="9" fillId="15" borderId="19" xfId="10" applyNumberFormat="1" applyFont="1" applyFill="1" applyBorder="1" applyAlignment="1">
      <alignment horizontal="right" vertical="center"/>
    </xf>
    <xf numFmtId="164" fontId="9" fillId="15" borderId="27" xfId="10" applyNumberFormat="1" applyFont="1" applyFill="1" applyBorder="1" applyAlignment="1">
      <alignment horizontal="right" vertical="center"/>
    </xf>
    <xf numFmtId="164" fontId="9" fillId="20" borderId="30" xfId="10" applyNumberFormat="1" applyFont="1" applyFill="1" applyBorder="1" applyAlignment="1">
      <alignment horizontal="right" vertical="center"/>
    </xf>
    <xf numFmtId="164" fontId="9" fillId="20" borderId="20" xfId="10" applyNumberFormat="1" applyFont="1" applyFill="1" applyBorder="1" applyAlignment="1">
      <alignment horizontal="right" vertical="center"/>
    </xf>
    <xf numFmtId="164" fontId="36" fillId="20" borderId="20" xfId="10" applyNumberFormat="1" applyFont="1" applyFill="1" applyBorder="1" applyAlignment="1">
      <alignment horizontal="right" vertical="center"/>
    </xf>
    <xf numFmtId="164" fontId="36" fillId="20" borderId="20" xfId="10" applyNumberFormat="1" applyFont="1" applyFill="1" applyBorder="1" applyAlignment="1">
      <alignment vertical="center"/>
    </xf>
    <xf numFmtId="164" fontId="9" fillId="20" borderId="31" xfId="10" applyNumberFormat="1" applyFont="1" applyFill="1" applyBorder="1" applyAlignment="1">
      <alignment horizontal="right" vertical="center"/>
    </xf>
    <xf numFmtId="164" fontId="0" fillId="0" borderId="15" xfId="10" applyNumberFormat="1" applyFont="1" applyBorder="1"/>
    <xf numFmtId="0" fontId="18" fillId="20" borderId="0" xfId="0" applyFont="1" applyFill="1" applyAlignment="1">
      <alignment horizontal="right"/>
    </xf>
    <xf numFmtId="164" fontId="0" fillId="20" borderId="0" xfId="10" applyNumberFormat="1" applyFont="1" applyFill="1"/>
    <xf numFmtId="43" fontId="0" fillId="20" borderId="0" xfId="10" applyFont="1" applyFill="1"/>
    <xf numFmtId="164" fontId="18" fillId="20" borderId="9" xfId="10" applyNumberFormat="1" applyFont="1" applyFill="1" applyBorder="1"/>
    <xf numFmtId="164" fontId="0" fillId="20" borderId="0" xfId="0" applyNumberFormat="1" applyFill="1"/>
    <xf numFmtId="164" fontId="0" fillId="0" borderId="0" xfId="0" applyNumberFormat="1" applyFill="1"/>
    <xf numFmtId="3" fontId="0" fillId="3" borderId="0" xfId="0" applyNumberFormat="1" applyFill="1"/>
    <xf numFmtId="0" fontId="31" fillId="8" borderId="0" xfId="0" applyFont="1" applyFill="1" applyAlignment="1">
      <alignment horizontal="right" vertical="center" wrapText="1"/>
    </xf>
    <xf numFmtId="0" fontId="31" fillId="8" borderId="0" xfId="0" applyFont="1" applyFill="1" applyAlignment="1">
      <alignment vertical="center" wrapText="1"/>
    </xf>
    <xf numFmtId="0" fontId="33" fillId="8" borderId="0" xfId="0" applyFont="1" applyFill="1" applyAlignment="1">
      <alignment horizontal="right" vertical="center" wrapText="1"/>
    </xf>
    <xf numFmtId="0" fontId="31" fillId="0" borderId="0" xfId="0" applyFont="1" applyFill="1" applyAlignment="1">
      <alignment horizontal="right" vertical="center" wrapText="1"/>
    </xf>
    <xf numFmtId="3" fontId="6" fillId="21" borderId="25" xfId="0" applyNumberFormat="1" applyFont="1" applyFill="1" applyBorder="1" applyAlignment="1">
      <alignment horizontal="right" vertical="center"/>
    </xf>
    <xf numFmtId="3" fontId="6" fillId="21" borderId="19" xfId="0" applyNumberFormat="1" applyFont="1" applyFill="1" applyBorder="1" applyAlignment="1">
      <alignment horizontal="right" vertical="center"/>
    </xf>
    <xf numFmtId="3" fontId="8" fillId="21" borderId="29" xfId="0" applyNumberFormat="1" applyFont="1" applyFill="1" applyBorder="1" applyAlignment="1">
      <alignment horizontal="right" vertical="center"/>
    </xf>
    <xf numFmtId="3" fontId="8" fillId="4" borderId="68" xfId="0" applyNumberFormat="1" applyFont="1" applyFill="1" applyBorder="1" applyAlignment="1">
      <alignment horizontal="right" vertical="center"/>
    </xf>
    <xf numFmtId="3" fontId="8" fillId="4" borderId="69" xfId="0" applyNumberFormat="1" applyFont="1" applyFill="1" applyBorder="1" applyAlignment="1">
      <alignment horizontal="right" vertical="center"/>
    </xf>
    <xf numFmtId="0" fontId="3" fillId="10" borderId="43" xfId="0" applyFont="1" applyFill="1" applyBorder="1" applyAlignment="1">
      <alignment horizontal="left" vertical="center" wrapText="1"/>
    </xf>
    <xf numFmtId="0" fontId="3" fillId="10" borderId="44" xfId="0" applyFont="1" applyFill="1" applyBorder="1" applyAlignment="1">
      <alignment horizontal="left" vertical="center" wrapText="1"/>
    </xf>
    <xf numFmtId="0" fontId="3" fillId="10" borderId="51" xfId="0" applyFont="1" applyFill="1" applyBorder="1" applyAlignment="1">
      <alignment horizontal="center" vertical="center" wrapText="1"/>
    </xf>
    <xf numFmtId="0" fontId="3" fillId="10" borderId="45" xfId="0" applyFont="1" applyFill="1" applyBorder="1" applyAlignment="1">
      <alignment horizontal="center" vertical="center" wrapText="1"/>
    </xf>
    <xf numFmtId="0" fontId="3" fillId="10" borderId="46" xfId="0" applyFont="1" applyFill="1" applyBorder="1" applyAlignment="1">
      <alignment horizontal="center" vertical="center" wrapText="1"/>
    </xf>
    <xf numFmtId="0" fontId="18" fillId="5" borderId="5" xfId="0" applyFont="1" applyFill="1" applyBorder="1" applyAlignment="1">
      <alignment horizontal="center" vertical="center"/>
    </xf>
    <xf numFmtId="0" fontId="18" fillId="5" borderId="16" xfId="0" applyFont="1" applyFill="1" applyBorder="1" applyAlignment="1">
      <alignment horizontal="center" vertical="center"/>
    </xf>
    <xf numFmtId="0" fontId="18" fillId="5" borderId="2" xfId="0" applyFont="1" applyFill="1" applyBorder="1" applyAlignment="1">
      <alignment horizontal="left" vertical="center"/>
    </xf>
    <xf numFmtId="0" fontId="18" fillId="5" borderId="41" xfId="0" applyFont="1" applyFill="1" applyBorder="1" applyAlignment="1">
      <alignment horizontal="left" vertical="center"/>
    </xf>
    <xf numFmtId="0" fontId="18" fillId="5" borderId="1" xfId="0" applyFont="1" applyFill="1" applyBorder="1" applyAlignment="1">
      <alignment horizontal="center"/>
    </xf>
    <xf numFmtId="0" fontId="18" fillId="5" borderId="16" xfId="0" applyFont="1" applyFill="1" applyBorder="1" applyAlignment="1">
      <alignment horizontal="center"/>
    </xf>
    <xf numFmtId="0" fontId="10" fillId="0" borderId="0" xfId="0" applyFont="1" applyAlignment="1">
      <alignment horizontal="right"/>
    </xf>
    <xf numFmtId="0" fontId="0" fillId="0" borderId="0" xfId="0" applyAlignment="1">
      <alignment horizontal="right"/>
    </xf>
    <xf numFmtId="0" fontId="11" fillId="0" borderId="0" xfId="0" applyFont="1" applyAlignment="1">
      <alignment horizontal="center"/>
    </xf>
    <xf numFmtId="0" fontId="7" fillId="0" borderId="3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5" xfId="0" applyFont="1" applyBorder="1" applyAlignment="1">
      <alignment horizontal="center" vertical="center" wrapText="1"/>
    </xf>
    <xf numFmtId="0" fontId="5" fillId="0" borderId="42" xfId="0" applyFont="1" applyBorder="1" applyAlignment="1">
      <alignment horizontal="center"/>
    </xf>
    <xf numFmtId="0" fontId="5" fillId="0" borderId="60" xfId="0" applyFont="1" applyBorder="1" applyAlignment="1">
      <alignment horizontal="center"/>
    </xf>
    <xf numFmtId="0" fontId="5" fillId="0" borderId="17" xfId="0" applyFont="1" applyBorder="1" applyAlignment="1">
      <alignment horizontal="center"/>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8" fillId="0" borderId="33" xfId="0" applyFont="1" applyBorder="1" applyAlignment="1">
      <alignment horizontal="center" vertical="center"/>
    </xf>
    <xf numFmtId="0" fontId="8" fillId="0" borderId="13" xfId="0" applyFont="1" applyBorder="1" applyAlignment="1">
      <alignment horizontal="center" vertical="center"/>
    </xf>
    <xf numFmtId="0" fontId="8" fillId="0" borderId="35" xfId="0" applyFont="1" applyBorder="1" applyAlignment="1">
      <alignment horizontal="center" vertical="center"/>
    </xf>
    <xf numFmtId="0" fontId="7" fillId="21" borderId="34" xfId="0" applyFont="1" applyFill="1" applyBorder="1" applyAlignment="1">
      <alignment horizontal="center" vertical="center"/>
    </xf>
    <xf numFmtId="0" fontId="7" fillId="21" borderId="6" xfId="0" applyFont="1" applyFill="1" applyBorder="1" applyAlignment="1">
      <alignment horizontal="center" vertical="center"/>
    </xf>
    <xf numFmtId="0" fontId="7" fillId="21" borderId="36" xfId="0" applyFont="1" applyFill="1" applyBorder="1" applyAlignment="1">
      <alignment horizontal="center" vertical="center"/>
    </xf>
    <xf numFmtId="0" fontId="12" fillId="0" borderId="0" xfId="0" applyFont="1" applyAlignment="1">
      <alignment horizontal="center" vertical="center"/>
    </xf>
    <xf numFmtId="0" fontId="5" fillId="16" borderId="7" xfId="0" applyFont="1" applyFill="1" applyBorder="1" applyAlignment="1">
      <alignment horizontal="center" vertical="center"/>
    </xf>
    <xf numFmtId="0" fontId="5" fillId="16" borderId="23"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3" xfId="0" applyFont="1" applyFill="1" applyBorder="1" applyAlignment="1">
      <alignment horizontal="center" vertical="center"/>
    </xf>
    <xf numFmtId="0" fontId="2" fillId="0" borderId="0" xfId="0" applyFont="1" applyAlignment="1">
      <alignment horizontal="center"/>
    </xf>
    <xf numFmtId="0" fontId="18" fillId="0" borderId="4" xfId="0" applyFont="1" applyBorder="1" applyAlignment="1">
      <alignment horizontal="center" vertical="center" wrapText="1"/>
    </xf>
    <xf numFmtId="0" fontId="18" fillId="0" borderId="41" xfId="0" applyFont="1" applyBorder="1" applyAlignment="1">
      <alignment horizontal="center" vertical="center" wrapText="1"/>
    </xf>
    <xf numFmtId="0" fontId="22" fillId="0" borderId="7" xfId="0" applyFont="1" applyBorder="1" applyAlignment="1">
      <alignment horizontal="left" wrapText="1"/>
    </xf>
    <xf numFmtId="0" fontId="22" fillId="0" borderId="9" xfId="0" applyFont="1" applyBorder="1" applyAlignment="1">
      <alignment horizontal="left" wrapText="1"/>
    </xf>
    <xf numFmtId="0" fontId="22" fillId="0" borderId="7" xfId="0" applyFont="1" applyFill="1" applyBorder="1" applyAlignment="1">
      <alignment horizontal="left"/>
    </xf>
    <xf numFmtId="0" fontId="22" fillId="0" borderId="9" xfId="0" applyFont="1" applyFill="1" applyBorder="1" applyAlignment="1">
      <alignment horizontal="left"/>
    </xf>
    <xf numFmtId="0" fontId="22" fillId="0" borderId="23" xfId="0" applyFont="1" applyFill="1" applyBorder="1" applyAlignment="1">
      <alignment horizontal="left"/>
    </xf>
    <xf numFmtId="0" fontId="22" fillId="0" borderId="23" xfId="0" applyFont="1" applyBorder="1" applyAlignment="1">
      <alignment horizontal="left" wrapText="1"/>
    </xf>
    <xf numFmtId="0" fontId="25" fillId="14" borderId="7" xfId="0" applyFont="1" applyFill="1" applyBorder="1" applyAlignment="1">
      <alignment horizontal="left"/>
    </xf>
    <xf numFmtId="0" fontId="25" fillId="14" borderId="9" xfId="0" applyFont="1" applyFill="1" applyBorder="1" applyAlignment="1">
      <alignment horizontal="left"/>
    </xf>
    <xf numFmtId="0" fontId="25" fillId="14" borderId="23" xfId="0" applyFont="1" applyFill="1" applyBorder="1" applyAlignment="1">
      <alignment horizontal="left"/>
    </xf>
    <xf numFmtId="0" fontId="24" fillId="4" borderId="7" xfId="0" applyFont="1" applyFill="1" applyBorder="1" applyAlignment="1">
      <alignment horizontal="left" vertical="center"/>
    </xf>
    <xf numFmtId="0" fontId="24" fillId="4" borderId="9" xfId="0" applyFont="1" applyFill="1" applyBorder="1" applyAlignment="1">
      <alignment horizontal="left" vertical="center"/>
    </xf>
    <xf numFmtId="0" fontId="24" fillId="4" borderId="15" xfId="0" applyFont="1" applyFill="1" applyBorder="1" applyAlignment="1">
      <alignment horizontal="left" vertical="center"/>
    </xf>
    <xf numFmtId="0" fontId="24" fillId="4" borderId="63" xfId="0" applyFont="1" applyFill="1" applyBorder="1" applyAlignment="1">
      <alignment horizontal="left" vertical="center"/>
    </xf>
    <xf numFmtId="0" fontId="22" fillId="0" borderId="8" xfId="0" applyFont="1" applyBorder="1" applyAlignment="1">
      <alignment horizontal="left" wrapText="1"/>
    </xf>
    <xf numFmtId="0" fontId="24" fillId="4" borderId="8" xfId="0" applyFont="1" applyFill="1" applyBorder="1" applyAlignment="1">
      <alignment horizontal="center"/>
    </xf>
    <xf numFmtId="0" fontId="22" fillId="0" borderId="14" xfId="0" applyFont="1" applyFill="1" applyBorder="1" applyAlignment="1">
      <alignment horizontal="left" wrapText="1"/>
    </xf>
    <xf numFmtId="0" fontId="22" fillId="0" borderId="15" xfId="0" applyFont="1" applyFill="1" applyBorder="1" applyAlignment="1">
      <alignment horizontal="left" wrapText="1"/>
    </xf>
    <xf numFmtId="0" fontId="22" fillId="0" borderId="63" xfId="0" applyFont="1" applyFill="1" applyBorder="1" applyAlignment="1">
      <alignment horizontal="left" wrapText="1"/>
    </xf>
    <xf numFmtId="0" fontId="22" fillId="0" borderId="64" xfId="0" applyFont="1" applyBorder="1" applyAlignment="1">
      <alignment horizontal="left" wrapText="1"/>
    </xf>
    <xf numFmtId="0" fontId="22" fillId="0" borderId="61" xfId="0" applyFont="1" applyBorder="1" applyAlignment="1">
      <alignment horizontal="left" wrapText="1"/>
    </xf>
    <xf numFmtId="0" fontId="22" fillId="0" borderId="62" xfId="0" applyFont="1" applyBorder="1" applyAlignment="1">
      <alignment horizontal="left" wrapText="1"/>
    </xf>
    <xf numFmtId="0" fontId="22" fillId="0" borderId="7" xfId="0" applyFont="1" applyBorder="1" applyAlignment="1">
      <alignment horizontal="left"/>
    </xf>
    <xf numFmtId="0" fontId="22" fillId="0" borderId="9" xfId="0" applyFont="1" applyBorder="1" applyAlignment="1">
      <alignment horizontal="left"/>
    </xf>
    <xf numFmtId="0" fontId="22" fillId="0" borderId="23" xfId="0" applyFont="1" applyBorder="1" applyAlignment="1">
      <alignment horizontal="left"/>
    </xf>
    <xf numFmtId="0" fontId="33" fillId="0" borderId="0" xfId="0" applyFont="1" applyAlignment="1">
      <alignment horizontal="justify" vertical="center" wrapText="1"/>
    </xf>
    <xf numFmtId="0" fontId="31" fillId="0" borderId="0" xfId="0" applyFont="1" applyAlignment="1">
      <alignment horizontal="right" vertical="center" wrapText="1"/>
    </xf>
    <xf numFmtId="0" fontId="33" fillId="0" borderId="0" xfId="0" applyFont="1" applyAlignment="1">
      <alignment vertical="center" wrapText="1"/>
    </xf>
    <xf numFmtId="0" fontId="33" fillId="0" borderId="76" xfId="0" applyFont="1" applyBorder="1" applyAlignment="1">
      <alignment vertical="center" wrapText="1"/>
    </xf>
    <xf numFmtId="0" fontId="31" fillId="0" borderId="76" xfId="0" applyFont="1" applyBorder="1" applyAlignment="1">
      <alignment horizontal="right" vertical="center" wrapText="1"/>
    </xf>
    <xf numFmtId="164" fontId="9" fillId="15" borderId="19" xfId="10" applyNumberFormat="1" applyFont="1" applyFill="1" applyBorder="1" applyAlignment="1">
      <alignment horizontal="right"/>
    </xf>
    <xf numFmtId="164" fontId="9" fillId="12" borderId="20" xfId="10" applyNumberFormat="1" applyFont="1" applyFill="1" applyBorder="1" applyAlignment="1">
      <alignment horizontal="right"/>
    </xf>
    <xf numFmtId="164" fontId="9" fillId="20" borderId="20" xfId="10" applyNumberFormat="1" applyFont="1" applyFill="1" applyBorder="1" applyAlignment="1">
      <alignment horizontal="right"/>
    </xf>
    <xf numFmtId="164" fontId="7" fillId="9" borderId="19" xfId="10" applyNumberFormat="1" applyFont="1" applyFill="1" applyBorder="1" applyAlignment="1"/>
  </cellXfs>
  <cellStyles count="11">
    <cellStyle name="Comma" xfId="10" builtinId="3"/>
    <cellStyle name="F2" xfId="1" xr:uid="{00000000-0005-0000-0000-000001000000}"/>
    <cellStyle name="F3" xfId="2" xr:uid="{00000000-0005-0000-0000-000002000000}"/>
    <cellStyle name="F4" xfId="3" xr:uid="{00000000-0005-0000-0000-000003000000}"/>
    <cellStyle name="F5" xfId="4" xr:uid="{00000000-0005-0000-0000-000004000000}"/>
    <cellStyle name="F6" xfId="5" xr:uid="{00000000-0005-0000-0000-000005000000}"/>
    <cellStyle name="F7" xfId="6" xr:uid="{00000000-0005-0000-0000-000006000000}"/>
    <cellStyle name="F8" xfId="7" xr:uid="{00000000-0005-0000-0000-000007000000}"/>
    <cellStyle name="Normal" xfId="0" builtinId="0"/>
    <cellStyle name="Percent" xfId="8" builtinId="5"/>
    <cellStyle name="Pourcentage 2"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34"/>
    </mc:Choice>
    <mc:Fallback>
      <c:style val="34"/>
    </mc:Fallback>
  </mc:AlternateContent>
  <c:clrMapOvr bg1="lt1" tx1="dk1" bg2="lt2" tx2="dk2" accent1="accent1" accent2="accent2" accent3="accent3" accent4="accent4" accent5="accent5" accent6="accent6" hlink="hlink" folHlink="folHlink"/>
  <c:chart>
    <c:title>
      <c:tx>
        <c:rich>
          <a:bodyPr/>
          <a:lstStyle/>
          <a:p>
            <a:pPr>
              <a:defRPr/>
            </a:pPr>
            <a:r>
              <a:rPr lang="en-US"/>
              <a:t>2021 Proposed</a:t>
            </a:r>
            <a:r>
              <a:rPr lang="en-US" baseline="0"/>
              <a:t> Resource Plan </a:t>
            </a:r>
            <a:endParaRPr lang="en-US"/>
          </a:p>
        </c:rich>
      </c:tx>
      <c:overlay val="0"/>
    </c:title>
    <c:autoTitleDeleted val="0"/>
    <c:view3D>
      <c:rotX val="30"/>
      <c:rotY val="20"/>
      <c:rAngAx val="1"/>
    </c:view3D>
    <c:floor>
      <c:thickness val="0"/>
    </c:floor>
    <c:sideWall>
      <c:thickness val="0"/>
    </c:sideWall>
    <c:backWall>
      <c:thickness val="0"/>
    </c:backWall>
    <c:plotArea>
      <c:layout/>
      <c:pie3DChart>
        <c:varyColors val="1"/>
        <c:ser>
          <c:idx val="0"/>
          <c:order val="0"/>
          <c:spPr>
            <a:scene3d>
              <a:camera prst="orthographicFront"/>
              <a:lightRig rig="threePt" dir="t"/>
            </a:scene3d>
            <a:sp3d prstMaterial="matte">
              <a:bevelT/>
              <a:bevelB/>
              <a:contourClr>
                <a:srgbClr val="000000"/>
              </a:contourClr>
            </a:sp3d>
          </c:spPr>
          <c:explosion val="10"/>
          <c:dLbls>
            <c:dLbl>
              <c:idx val="0"/>
              <c:layout>
                <c:manualLayout>
                  <c:x val="-1.580884980097055E-2"/>
                  <c:y val="-0.238717629139711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A83-324E-8368-A680C4927BB8}"/>
                </c:ext>
              </c:extLst>
            </c:dLbl>
            <c:dLbl>
              <c:idx val="1"/>
              <c:layout>
                <c:manualLayout>
                  <c:x val="6.2495885375740134E-2"/>
                  <c:y val="2.535170900894397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A83-324E-8368-A680C4927BB8}"/>
                </c:ext>
              </c:extLst>
            </c:dLbl>
            <c:dLbl>
              <c:idx val="2"/>
              <c:layout>
                <c:manualLayout>
                  <c:x val="-5.519828366318718E-2"/>
                  <c:y val="1.822057807307780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341-C247-A9E9-E2E4DD34B193}"/>
                </c:ext>
              </c:extLst>
            </c:dLbl>
            <c:dLbl>
              <c:idx val="3"/>
              <c:layout>
                <c:manualLayout>
                  <c:x val="-9.3305808334634047E-2"/>
                  <c:y val="3.9243150873117544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A83-324E-8368-A680C4927BB8}"/>
                </c:ext>
              </c:extLst>
            </c:dLbl>
            <c:dLbl>
              <c:idx val="4"/>
              <c:layout>
                <c:manualLayout>
                  <c:x val="-0.11696040769518787"/>
                  <c:y val="-2.2260268437719194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341-C247-A9E9-E2E4DD34B193}"/>
                </c:ext>
              </c:extLst>
            </c:dLbl>
            <c:spPr>
              <a:noFill/>
              <a:ln>
                <a:noFill/>
              </a:ln>
              <a:effectLst/>
            </c:sp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Graphs!$B$4:$B$7</c:f>
              <c:strCache>
                <c:ptCount val="4"/>
                <c:pt idx="0">
                  <c:v>UN Grant + RPTC</c:v>
                </c:pt>
                <c:pt idx="1">
                  <c:v>Member State Contributions</c:v>
                </c:pt>
                <c:pt idx="2">
                  <c:v>ECA Programme Support</c:v>
                </c:pt>
                <c:pt idx="3">
                  <c:v>Minimum to be mobilised</c:v>
                </c:pt>
              </c:strCache>
            </c:strRef>
          </c:cat>
          <c:val>
            <c:numRef>
              <c:f>Graphs!$C$4:$C$7</c:f>
              <c:numCache>
                <c:formatCode>_(* #,##0_);_(* \(#,##0\);_(* "-"??_);_(@_)</c:formatCode>
                <c:ptCount val="4"/>
                <c:pt idx="0">
                  <c:v>2315000</c:v>
                </c:pt>
                <c:pt idx="1">
                  <c:v>1000000</c:v>
                </c:pt>
                <c:pt idx="2">
                  <c:v>750000</c:v>
                </c:pt>
                <c:pt idx="3">
                  <c:v>349999.5</c:v>
                </c:pt>
              </c:numCache>
            </c:numRef>
          </c:val>
          <c:extLst>
            <c:ext xmlns:c16="http://schemas.microsoft.com/office/drawing/2014/chart" uri="{C3380CC4-5D6E-409C-BE32-E72D297353CC}">
              <c16:uniqueId val="{00000003-6A83-324E-8368-A680C4927BB8}"/>
            </c:ext>
          </c:extLst>
        </c:ser>
        <c:dLbls>
          <c:dLblPos val="bestFit"/>
          <c:showLegendKey val="0"/>
          <c:showVal val="0"/>
          <c:showCatName val="0"/>
          <c:showSerName val="0"/>
          <c:showPercent val="1"/>
          <c:showBubbleSize val="0"/>
          <c:showLeaderLines val="1"/>
        </c:dLbls>
      </c:pie3DChart>
    </c:plotArea>
    <c:plotVisOnly val="1"/>
    <c:dispBlanksAs val="zero"/>
    <c:showDLblsOverMax val="0"/>
  </c:chart>
  <c:spPr>
    <a:solidFill>
      <a:sysClr val="window" lastClr="FFFFFF"/>
    </a:solidFill>
    <a:ln w="25400" cap="flat" cmpd="sng" algn="ctr">
      <a:solidFill>
        <a:srgbClr val="4F81BD"/>
      </a:solidFill>
      <a:prstDash val="solid"/>
    </a:ln>
    <a:effectLst/>
  </c:spPr>
  <c:txPr>
    <a:bodyPr/>
    <a:lstStyle/>
    <a:p>
      <a:pPr>
        <a:defRPr>
          <a:solidFill>
            <a:sysClr val="windowText" lastClr="000000"/>
          </a:solidFill>
          <a:latin typeface="+mn-lt"/>
          <a:ea typeface="+mn-ea"/>
          <a:cs typeface="+mn-cs"/>
        </a:defRPr>
      </a:pPr>
      <a:endParaRPr lang="en-US"/>
    </a:p>
  </c:txPr>
  <c:printSettings>
    <c:headerFooter/>
    <c:pageMargins b="0.750000000000001" l="0.70000000000000095" r="0.70000000000000095" t="0.750000000000001"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r>
              <a:rPr lang="en-US"/>
              <a:t>Annual allotments c</a:t>
            </a:r>
            <a:r>
              <a:rPr lang="en-US" baseline="0"/>
              <a:t>ost category</a:t>
            </a:r>
            <a:endParaRPr lang="en-US"/>
          </a:p>
        </c:rich>
      </c:tx>
      <c:layout>
        <c:manualLayout>
          <c:xMode val="edge"/>
          <c:yMode val="edge"/>
          <c:x val="0.24531040762761799"/>
          <c:y val="1.6260162601626001E-2"/>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v>2020</c:v>
          </c:tx>
          <c:spPr>
            <a:pattFill prst="pct60">
              <a:fgClr>
                <a:schemeClr val="tx1"/>
              </a:fgClr>
              <a:bgClr>
                <a:schemeClr val="bg1"/>
              </a:bgClr>
            </a:pattFill>
            <a:ln w="9525" cap="flat" cmpd="sng" algn="ctr">
              <a:gradFill>
                <a:gsLst>
                  <a:gs pos="5000">
                    <a:schemeClr val="tx1"/>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prstDash val="solid"/>
              <a:round/>
            </a:ln>
            <a:effectLst>
              <a:outerShdw blurRad="50800" dir="5400000" algn="ctr" rotWithShape="0">
                <a:sysClr val="window" lastClr="FFFFFF">
                  <a:lumMod val="85000"/>
                </a:sysClr>
              </a:outerShdw>
            </a:effectLst>
            <a:scene3d>
              <a:camera prst="orthographicFront"/>
              <a:lightRig rig="threePt" dir="t"/>
            </a:scene3d>
            <a:sp3d>
              <a:bevelB prst="relaxedInset"/>
            </a:sp3d>
          </c:spPr>
          <c:invertIfNegative val="0"/>
          <c:dPt>
            <c:idx val="0"/>
            <c:invertIfNegative val="0"/>
            <c:bubble3D val="0"/>
            <c:spPr>
              <a:pattFill prst="pct60">
                <a:fgClr>
                  <a:schemeClr val="tx1"/>
                </a:fgClr>
                <a:bgClr>
                  <a:schemeClr val="bg1"/>
                </a:bgClr>
              </a:pattFill>
              <a:ln w="9525" cap="flat" cmpd="sng" algn="ctr">
                <a:gradFill>
                  <a:gsLst>
                    <a:gs pos="5000">
                      <a:schemeClr val="tx1"/>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prstDash val="solid"/>
                <a:round/>
              </a:ln>
              <a:effectLst>
                <a:outerShdw blurRad="50800" dir="5400000" algn="ctr" rotWithShape="0">
                  <a:sysClr val="window" lastClr="FFFFFF">
                    <a:lumMod val="85000"/>
                  </a:sysClr>
                </a:outerShdw>
              </a:effectLst>
              <a:scene3d>
                <a:camera prst="orthographicFront"/>
                <a:lightRig rig="threePt" dir="t"/>
              </a:scene3d>
              <a:sp3d>
                <a:bevelB prst="relaxedInset"/>
              </a:sp3d>
            </c:spPr>
            <c:extLst>
              <c:ext xmlns:c16="http://schemas.microsoft.com/office/drawing/2014/chart" uri="{C3380CC4-5D6E-409C-BE32-E72D297353CC}">
                <c16:uniqueId val="{00000000-4A89-4109-A2A0-660DEB939E29}"/>
              </c:ext>
            </c:extLst>
          </c:dPt>
          <c:cat>
            <c:strRef>
              <c:f>Graphs!$B$43:$B$49</c:f>
              <c:strCache>
                <c:ptCount val="7"/>
                <c:pt idx="0">
                  <c:v>Training</c:v>
                </c:pt>
                <c:pt idx="1">
                  <c:v>Research</c:v>
                </c:pt>
                <c:pt idx="2">
                  <c:v>KM and e-Learning</c:v>
                </c:pt>
                <c:pt idx="3">
                  <c:v>Business Development</c:v>
                </c:pt>
                <c:pt idx="4">
                  <c:v>Monitoring &amp; Evaluation</c:v>
                </c:pt>
                <c:pt idx="5">
                  <c:v>Coordination Salaries</c:v>
                </c:pt>
                <c:pt idx="6">
                  <c:v>Operating expenses</c:v>
                </c:pt>
              </c:strCache>
            </c:strRef>
          </c:cat>
          <c:val>
            <c:numRef>
              <c:f>Graphs!$C$43:$C$49</c:f>
              <c:numCache>
                <c:formatCode>_(* #,##0_);_(* \(#,##0\);_(* "-"??_);_(@_)</c:formatCode>
                <c:ptCount val="7"/>
                <c:pt idx="0">
                  <c:v>2664674</c:v>
                </c:pt>
                <c:pt idx="1">
                  <c:v>382376.5</c:v>
                </c:pt>
                <c:pt idx="2">
                  <c:v>1011075</c:v>
                </c:pt>
                <c:pt idx="3">
                  <c:v>131000</c:v>
                </c:pt>
                <c:pt idx="4">
                  <c:v>35000</c:v>
                </c:pt>
                <c:pt idx="5">
                  <c:v>867345</c:v>
                </c:pt>
                <c:pt idx="6">
                  <c:v>558232</c:v>
                </c:pt>
              </c:numCache>
            </c:numRef>
          </c:val>
          <c:extLst>
            <c:ext xmlns:c16="http://schemas.microsoft.com/office/drawing/2014/chart" uri="{C3380CC4-5D6E-409C-BE32-E72D297353CC}">
              <c16:uniqueId val="{00000000-64EE-BC4E-8AFE-A2059F8D039D}"/>
            </c:ext>
          </c:extLst>
        </c:ser>
        <c:ser>
          <c:idx val="1"/>
          <c:order val="1"/>
          <c:tx>
            <c:v>2021</c:v>
          </c:tx>
          <c:spPr>
            <a:pattFill prst="wdUpDiag">
              <a:fgClr>
                <a:schemeClr val="tx1"/>
              </a:fgClr>
              <a:bgClr>
                <a:schemeClr val="bg1"/>
              </a:bgClr>
            </a:pattFill>
            <a:ln w="9525" cap="flat" cmpd="sng" algn="ctr">
              <a:solidFill>
                <a:schemeClr val="dk1">
                  <a:tint val="55000"/>
                  <a:shade val="50000"/>
                  <a:shade val="95000"/>
                  <a:satMod val="105000"/>
                </a:schemeClr>
              </a:solidFill>
              <a:prstDash val="solid"/>
              <a:round/>
            </a:ln>
            <a:effectLst>
              <a:softEdge rad="12700"/>
            </a:effectLst>
            <a:scene3d>
              <a:camera prst="orthographicFront"/>
              <a:lightRig rig="threePt" dir="t"/>
            </a:scene3d>
            <a:sp3d prstMaterial="metal"/>
          </c:spPr>
          <c:invertIfNegative val="0"/>
          <c:cat>
            <c:strRef>
              <c:f>Graphs!$B$43:$B$49</c:f>
              <c:strCache>
                <c:ptCount val="7"/>
                <c:pt idx="0">
                  <c:v>Training</c:v>
                </c:pt>
                <c:pt idx="1">
                  <c:v>Research</c:v>
                </c:pt>
                <c:pt idx="2">
                  <c:v>KM and e-Learning</c:v>
                </c:pt>
                <c:pt idx="3">
                  <c:v>Business Development</c:v>
                </c:pt>
                <c:pt idx="4">
                  <c:v>Monitoring &amp; Evaluation</c:v>
                </c:pt>
                <c:pt idx="5">
                  <c:v>Coordination Salaries</c:v>
                </c:pt>
                <c:pt idx="6">
                  <c:v>Operating expenses</c:v>
                </c:pt>
              </c:strCache>
            </c:strRef>
          </c:cat>
          <c:val>
            <c:numRef>
              <c:f>Graphs!$E$43:$E$49</c:f>
              <c:numCache>
                <c:formatCode>_(* #,##0_);_(* \(#,##0\);_(* "-"??_);_(@_)</c:formatCode>
                <c:ptCount val="7"/>
                <c:pt idx="0">
                  <c:v>1325074</c:v>
                </c:pt>
                <c:pt idx="1">
                  <c:v>337782.5</c:v>
                </c:pt>
                <c:pt idx="2">
                  <c:v>1176575</c:v>
                </c:pt>
                <c:pt idx="3">
                  <c:v>140000</c:v>
                </c:pt>
                <c:pt idx="4">
                  <c:v>35000</c:v>
                </c:pt>
                <c:pt idx="5">
                  <c:v>867345</c:v>
                </c:pt>
                <c:pt idx="6">
                  <c:v>533223</c:v>
                </c:pt>
              </c:numCache>
            </c:numRef>
          </c:val>
          <c:extLst>
            <c:ext xmlns:c16="http://schemas.microsoft.com/office/drawing/2014/chart" uri="{C3380CC4-5D6E-409C-BE32-E72D297353CC}">
              <c16:uniqueId val="{00000001-64EE-BC4E-8AFE-A2059F8D039D}"/>
            </c:ext>
          </c:extLst>
        </c:ser>
        <c:dLbls>
          <c:showLegendKey val="0"/>
          <c:showVal val="0"/>
          <c:showCatName val="0"/>
          <c:showSerName val="0"/>
          <c:showPercent val="0"/>
          <c:showBubbleSize val="0"/>
        </c:dLbls>
        <c:gapWidth val="100"/>
        <c:overlap val="-10"/>
        <c:axId val="-1604936160"/>
        <c:axId val="-1557736208"/>
      </c:barChart>
      <c:catAx>
        <c:axId val="-1604936160"/>
        <c:scaling>
          <c:orientation val="minMax"/>
        </c:scaling>
        <c:delete val="0"/>
        <c:axPos val="b"/>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a:t>COST</a:t>
                </a:r>
                <a:r>
                  <a:rPr lang="en-US" baseline="0"/>
                  <a:t> CATEGORY</a:t>
                </a:r>
                <a:endParaRPr lang="en-US"/>
              </a:p>
            </c:rich>
          </c:tx>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dk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557736208"/>
        <c:crosses val="autoZero"/>
        <c:auto val="1"/>
        <c:lblAlgn val="ctr"/>
        <c:lblOffset val="100"/>
        <c:noMultiLvlLbl val="0"/>
      </c:catAx>
      <c:valAx>
        <c:axId val="-1557736208"/>
        <c:scaling>
          <c:orientation val="minMax"/>
          <c:max val="3000000"/>
        </c:scaling>
        <c:delete val="0"/>
        <c:axPos val="l"/>
        <c:majorGridlines>
          <c:spPr>
            <a:ln w="9525" cap="flat" cmpd="sng" algn="ctr">
              <a:solidFill>
                <a:schemeClr val="dk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a:t>AMOUNT</a:t>
                </a:r>
                <a:r>
                  <a:rPr lang="en-US" baseline="0"/>
                  <a:t> US$</a:t>
                </a:r>
                <a:endParaRPr lang="en-US"/>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title>
        <c:numFmt formatCode="_(* #,##0_);_(* \(#,##0\);_(* &quot;-&quot;??_);_(@_)" sourceLinked="1"/>
        <c:majorTickMark val="out"/>
        <c:minorTickMark val="none"/>
        <c:tickLblPos val="nextTo"/>
        <c:spPr>
          <a:noFill/>
          <a:ln w="9525" cap="flat" cmpd="sng" algn="ctr">
            <a:solidFill>
              <a:schemeClr val="dk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604936160"/>
        <c:crosses val="autoZero"/>
        <c:crossBetween val="between"/>
      </c:valAx>
      <c:spPr>
        <a:solidFill>
          <a:schemeClr val="dk1">
            <a:tint val="20000"/>
          </a:schemeClr>
        </a:solidFill>
        <a:ln>
          <a:noFill/>
        </a:ln>
        <a:effectLst/>
      </c:spPr>
    </c:plotArea>
    <c:legend>
      <c:legendPos val="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ysClr val="window" lastClr="FFFFFF"/>
    </a:solidFill>
    <a:ln w="25400" cap="flat" cmpd="sng" algn="ctr">
      <a:solidFill>
        <a:srgbClr val="4F81BD"/>
      </a:solidFill>
      <a:prstDash val="solid"/>
      <a:round/>
    </a:ln>
    <a:effectLst>
      <a:outerShdw blurRad="50800" dist="50800" dir="5400000" algn="ctr" rotWithShape="0">
        <a:srgbClr val="000000"/>
      </a:outerShdw>
    </a:effectLst>
  </c:spPr>
  <c:txPr>
    <a:bodyPr/>
    <a:lstStyle/>
    <a:p>
      <a:pPr>
        <a:defRPr>
          <a:solidFill>
            <a:sysClr val="windowText" lastClr="000000"/>
          </a:solidFill>
          <a:latin typeface="+mn-lt"/>
          <a:ea typeface="+mn-ea"/>
          <a:cs typeface="+mn-cs"/>
        </a:defRPr>
      </a:pPr>
      <a:endParaRPr lang="en-US"/>
    </a:p>
  </c:txPr>
  <c:printSettings>
    <c:headerFooter/>
    <c:pageMargins b="0.750000000000001" l="0.70000000000000095" r="0.70000000000000095" t="0.750000000000001" header="0.3" footer="0.3"/>
    <c:pageSetup/>
  </c:printSettings>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style1.xml><?xml version="1.0" encoding="utf-8"?>
<cs:chartStyle xmlns:cs="http://schemas.microsoft.com/office/drawing/2012/chartStyle" xmlns:a="http://schemas.openxmlformats.org/drawingml/2006/main" id="134">
  <cs:axisTitle>
    <cs:lnRef idx="0"/>
    <cs:fillRef idx="0"/>
    <cs:effectRef idx="0"/>
    <cs:fontRef idx="minor">
      <a:schemeClr val="dk1"/>
    </cs:fontRef>
    <cs:defRPr sz="1000" b="1" kern="1200"/>
  </cs:axisTitle>
  <cs:categoryAxis>
    <cs:lnRef idx="1">
      <a:schemeClr val="dk1">
        <a:tint val="75000"/>
      </a:schemeClr>
    </cs:lnRef>
    <cs:fillRef idx="0"/>
    <cs:effectRef idx="0"/>
    <cs:fontRef idx="minor">
      <a:schemeClr val="dk1"/>
    </cs:fontRef>
    <cs:spPr>
      <a:ln>
        <a:round/>
      </a:ln>
    </cs:spPr>
    <cs:defRPr sz="1000" kern="1200"/>
  </cs:categoryAxis>
  <cs:chartArea>
    <cs:lnRef idx="1">
      <a:schemeClr val="dk1">
        <a:tint val="75000"/>
      </a:schemeClr>
    </cs:lnRef>
    <cs:fillRef idx="1">
      <a:schemeClr val="lt1"/>
    </cs:fillRef>
    <cs:effectRef idx="0"/>
    <cs:fontRef idx="minor">
      <a:schemeClr val="dk1"/>
    </cs:fontRef>
    <cs:spPr>
      <a:ln>
        <a:round/>
      </a:ln>
    </cs:spPr>
    <cs:defRPr sz="1000" kern="1200"/>
  </cs:chartArea>
  <cs:dataLabel>
    <cs:lnRef idx="0"/>
    <cs:fillRef idx="0"/>
    <cs:effectRef idx="0"/>
    <cs:fontRef idx="minor">
      <a:schemeClr val="dk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1">
      <cs:styleClr val="auto">
        <a:shade val="50000"/>
      </cs:styleClr>
    </cs:lnRef>
    <cs:fillRef idx="1">
      <cs:styleClr val="auto"/>
    </cs:fillRef>
    <cs:effectRef idx="0"/>
    <cs:fontRef idx="minor">
      <a:schemeClr val="dk1"/>
    </cs:fontRef>
    <cs:spPr>
      <a:ln>
        <a:round/>
      </a:ln>
    </cs:spPr>
  </cs:dataPoint>
  <cs:dataPoint3D>
    <cs:lnRef idx="1">
      <cs:styleClr val="auto">
        <a:shade val="50000"/>
      </cs:styleClr>
    </cs:lnRef>
    <cs:fillRef idx="1">
      <cs:styleClr val="auto"/>
    </cs:fillRef>
    <cs:effectRef idx="0"/>
    <cs:fontRef idx="minor">
      <a:schemeClr val="dk1"/>
    </cs:fontRef>
    <cs:spPr>
      <a:ln>
        <a:round/>
      </a:ln>
    </cs:spPr>
  </cs:dataPoint3D>
  <cs:dataPointLine>
    <cs:lnRef idx="1">
      <cs:styleClr val="auto"/>
    </cs:lnRef>
    <cs:lineWidthScale>5</cs:lineWidthScale>
    <cs:fillRef idx="0"/>
    <cs:effectRef idx="0"/>
    <cs:fontRef idx="minor">
      <a:schemeClr val="dk1"/>
    </cs:fontRef>
    <cs:spPr>
      <a:ln cap="rnd">
        <a:round/>
      </a:ln>
    </cs:spPr>
  </cs:dataPointLine>
  <cs:dataPointMarker>
    <cs:lnRef idx="1">
      <cs:styleClr val="auto"/>
    </cs:lnRef>
    <cs:fillRef idx="1">
      <cs:styleClr val="auto"/>
    </cs:fillRef>
    <cs:effectRef idx="0"/>
    <cs:fontRef idx="minor">
      <a:schemeClr val="dk1"/>
    </cs:fontRef>
    <cs:spPr>
      <a:ln>
        <a:round/>
      </a:ln>
    </cs:spPr>
  </cs:dataPointMarker>
  <cs:dataPointMarkerLayout/>
  <cs:dataPointWireframe>
    <cs:lnRef idx="1">
      <cs:styleClr val="auto"/>
    </cs:lnRef>
    <cs:fillRef idx="0"/>
    <cs:effectRef idx="0"/>
    <cs:fontRef idx="minor">
      <a:schemeClr val="dk1"/>
    </cs:fontRef>
    <cs:spPr>
      <a:ln>
        <a:round/>
      </a:ln>
    </cs:spPr>
  </cs:dataPointWireframe>
  <cs:dataTable>
    <cs:lnRef idx="1">
      <a:schemeClr val="dk1">
        <a:tint val="75000"/>
      </a:schemeClr>
    </cs:lnRef>
    <cs:fillRef idx="0"/>
    <cs:effectRef idx="0"/>
    <cs:fontRef idx="minor">
      <a:schemeClr val="dk1"/>
    </cs:fontRef>
    <cs:spPr>
      <a:ln>
        <a:round/>
      </a:ln>
    </cs:spPr>
    <cs:defRPr sz="1000" kern="1200"/>
  </cs:dataTable>
  <cs:downBar>
    <cs:lnRef idx="1">
      <a:schemeClr val="dk1"/>
    </cs:lnRef>
    <cs:fillRef idx="1">
      <a:schemeClr val="dk1">
        <a:tint val="95000"/>
      </a:schemeClr>
    </cs:fillRef>
    <cs:effectRef idx="0"/>
    <cs:fontRef idx="minor">
      <a:schemeClr val="dk1"/>
    </cs:fontRef>
    <cs:spPr>
      <a:ln>
        <a:round/>
      </a:ln>
    </cs:spPr>
  </cs:downBar>
  <cs:dropLine>
    <cs:lnRef idx="1">
      <a:schemeClr val="dk1"/>
    </cs:lnRef>
    <cs:fillRef idx="0"/>
    <cs:effectRef idx="0"/>
    <cs:fontRef idx="minor">
      <a:schemeClr val="dk1"/>
    </cs:fontRef>
    <cs:spPr>
      <a:ln>
        <a:round/>
      </a:ln>
    </cs:spPr>
  </cs:dropLine>
  <cs:errorBar>
    <cs:lnRef idx="1">
      <a:schemeClr val="dk1"/>
    </cs:lnRef>
    <cs:fillRef idx="1">
      <a:schemeClr val="dk1"/>
    </cs:fillRef>
    <cs:effectRef idx="0"/>
    <cs:fontRef idx="minor">
      <a:schemeClr val="dk1"/>
    </cs:fontRef>
    <cs:spPr>
      <a:ln>
        <a:round/>
      </a:ln>
    </cs:spPr>
  </cs:errorBar>
  <cs:floor>
    <cs:lnRef idx="1">
      <a:schemeClr val="dk1">
        <a:tint val="75000"/>
      </a:schemeClr>
    </cs:lnRef>
    <cs:fillRef idx="1">
      <a:schemeClr val="dk1">
        <a:tint val="20000"/>
      </a:schemeClr>
    </cs:fillRef>
    <cs:effectRef idx="0"/>
    <cs:fontRef idx="minor">
      <a:schemeClr val="dk1"/>
    </cs:fontRef>
    <cs:spPr>
      <a:ln>
        <a:round/>
      </a:ln>
    </cs:spPr>
  </cs:floor>
  <cs:gridlineMajor>
    <cs:lnRef idx="1">
      <a:schemeClr val="dk1">
        <a:tint val="75000"/>
      </a:schemeClr>
    </cs:lnRef>
    <cs:fillRef idx="0"/>
    <cs:effectRef idx="0"/>
    <cs:fontRef idx="minor">
      <a:schemeClr val="dk1"/>
    </cs:fontRef>
    <cs:spPr>
      <a:ln>
        <a:round/>
      </a:ln>
    </cs:spPr>
  </cs:gridlineMajor>
  <cs:gridlineMinor>
    <cs:lnRef idx="1">
      <a:schemeClr val="dk1">
        <a:tint val="50000"/>
      </a:schemeClr>
    </cs:lnRef>
    <cs:fillRef idx="0"/>
    <cs:effectRef idx="0"/>
    <cs:fontRef idx="minor">
      <a:schemeClr val="dk1"/>
    </cs:fontRef>
    <cs:spPr>
      <a:ln>
        <a:round/>
      </a:ln>
    </cs:spPr>
  </cs:gridlineMinor>
  <cs:hiLoLine>
    <cs:lnRef idx="1">
      <a:schemeClr val="dk1"/>
    </cs:lnRef>
    <cs:fillRef idx="0"/>
    <cs:effectRef idx="0"/>
    <cs:fontRef idx="minor">
      <a:schemeClr val="dk1"/>
    </cs:fontRef>
    <cs:spPr>
      <a:ln>
        <a:round/>
      </a:ln>
    </cs:spPr>
  </cs:hiLoLine>
  <cs:leaderLine>
    <cs:lnRef idx="1">
      <a:schemeClr val="dk1"/>
    </cs:lnRef>
    <cs:fillRef idx="0"/>
    <cs:effectRef idx="0"/>
    <cs:fontRef idx="minor">
      <a:schemeClr val="dk1"/>
    </cs:fontRef>
    <cs:spPr>
      <a:ln>
        <a:round/>
      </a:ln>
    </cs:spPr>
  </cs:leaderLine>
  <cs:legend>
    <cs:lnRef idx="0"/>
    <cs:fillRef idx="0"/>
    <cs:effectRef idx="0"/>
    <cs:fontRef idx="minor">
      <a:schemeClr val="dk1"/>
    </cs:fontRef>
    <cs:defRPr sz="1000" kern="1200"/>
  </cs:legend>
  <cs:plotArea>
    <cs:lnRef idx="0"/>
    <cs:fillRef idx="1">
      <a:schemeClr val="dk1">
        <a:tint val="20000"/>
      </a:schemeClr>
    </cs:fillRef>
    <cs:effectRef idx="0"/>
    <cs:fontRef idx="minor">
      <a:schemeClr val="dk1"/>
    </cs:fontRef>
  </cs:plotArea>
  <cs:plotArea3D>
    <cs:lnRef idx="0"/>
    <cs:fillRef idx="0"/>
    <cs:effectRef idx="0"/>
    <cs:fontRef idx="minor">
      <a:schemeClr val="dk1"/>
    </cs:fontRef>
  </cs:plotArea3D>
  <cs:seriesAxis>
    <cs:lnRef idx="1">
      <a:schemeClr val="dk1">
        <a:tint val="75000"/>
      </a:schemeClr>
    </cs:lnRef>
    <cs:fillRef idx="0"/>
    <cs:effectRef idx="0"/>
    <cs:fontRef idx="minor">
      <a:schemeClr val="dk1"/>
    </cs:fontRef>
    <cs:spPr>
      <a:ln>
        <a:round/>
      </a:ln>
    </cs:spPr>
    <cs:defRPr sz="1000" kern="1200"/>
  </cs:seriesAxis>
  <cs:seriesLine>
    <cs:lnRef idx="1">
      <a:schemeClr val="dk1"/>
    </cs:lnRef>
    <cs:fillRef idx="0"/>
    <cs:effectRef idx="0"/>
    <cs:fontRef idx="minor">
      <a:schemeClr val="dk1"/>
    </cs:fontRef>
    <cs:spPr>
      <a:ln>
        <a:round/>
      </a:ln>
    </cs:spPr>
  </cs:seriesLine>
  <cs:title>
    <cs:lnRef idx="0"/>
    <cs:fillRef idx="0"/>
    <cs:effectRef idx="0"/>
    <cs:fontRef idx="minor">
      <a:schemeClr val="dk1"/>
    </cs:fontRef>
    <cs:defRPr sz="1800" b="1" kern="1200"/>
  </cs:title>
  <cs:trendline>
    <cs:lnRef idx="1">
      <a:schemeClr val="dk1"/>
    </cs:lnRef>
    <cs:fillRef idx="0"/>
    <cs:effectRef idx="0"/>
    <cs:fontRef idx="minor">
      <a:schemeClr val="dk1"/>
    </cs:fontRef>
    <cs:spPr>
      <a:ln cap="rnd">
        <a:round/>
      </a:ln>
    </cs:spPr>
  </cs:trendline>
  <cs:trendlineLabel>
    <cs:lnRef idx="0"/>
    <cs:fillRef idx="0"/>
    <cs:effectRef idx="0"/>
    <cs:fontRef idx="minor">
      <a:schemeClr val="dk1"/>
    </cs:fontRef>
    <cs:defRPr sz="1000" kern="1200"/>
  </cs:trendlineLabel>
  <cs:upBar>
    <cs:lnRef idx="1">
      <a:schemeClr val="dk1"/>
    </cs:lnRef>
    <cs:fillRef idx="1">
      <a:schemeClr val="lt1"/>
    </cs:fillRef>
    <cs:effectRef idx="0"/>
    <cs:fontRef idx="minor">
      <a:schemeClr val="dk1"/>
    </cs:fontRef>
    <cs:spPr>
      <a:ln>
        <a:round/>
      </a:ln>
    </cs:spPr>
  </cs:upBar>
  <cs:valueAxis>
    <cs:lnRef idx="1">
      <a:schemeClr val="dk1">
        <a:tint val="75000"/>
      </a:schemeClr>
    </cs:lnRef>
    <cs:fillRef idx="0"/>
    <cs:effectRef idx="0"/>
    <cs:fontRef idx="minor">
      <a:schemeClr val="dk1"/>
    </cs:fontRef>
    <cs:spPr>
      <a:ln>
        <a:round/>
      </a:ln>
    </cs:spPr>
    <cs:defRPr sz="1000" kern="1200"/>
  </cs:valueAxis>
  <cs:wall>
    <cs:lnRef idx="0"/>
    <cs:fillRef idx="1">
      <a:schemeClr val="dk1">
        <a:tint val="20000"/>
      </a:schemeClr>
    </cs:fillRef>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43156</xdr:colOff>
      <xdr:row>1</xdr:row>
      <xdr:rowOff>18496</xdr:rowOff>
    </xdr:from>
    <xdr:to>
      <xdr:col>14</xdr:col>
      <xdr:colOff>652756</xdr:colOff>
      <xdr:row>29</xdr:row>
      <xdr:rowOff>4439</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974078</xdr:colOff>
      <xdr:row>52</xdr:row>
      <xdr:rowOff>154127</xdr:rowOff>
    </xdr:from>
    <xdr:to>
      <xdr:col>14</xdr:col>
      <xdr:colOff>578775</xdr:colOff>
      <xdr:row>81</xdr:row>
      <xdr:rowOff>146235</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51"/>
  <sheetViews>
    <sheetView zoomScale="103" workbookViewId="0">
      <selection activeCell="C12" sqref="C12"/>
    </sheetView>
  </sheetViews>
  <sheetFormatPr defaultColWidth="11.453125" defaultRowHeight="12.5" x14ac:dyDescent="0.25"/>
  <cols>
    <col min="2" max="2" width="25.36328125" customWidth="1"/>
    <col min="3" max="3" width="15.36328125" customWidth="1"/>
    <col min="4" max="4" width="13.1796875" style="76" bestFit="1" customWidth="1"/>
    <col min="5" max="5" width="14.36328125" bestFit="1" customWidth="1"/>
    <col min="258" max="258" width="21" customWidth="1"/>
    <col min="514" max="514" width="21" customWidth="1"/>
    <col min="770" max="770" width="21" customWidth="1"/>
    <col min="1026" max="1026" width="21" customWidth="1"/>
    <col min="1282" max="1282" width="21" customWidth="1"/>
    <col min="1538" max="1538" width="21" customWidth="1"/>
    <col min="1794" max="1794" width="21" customWidth="1"/>
    <col min="2050" max="2050" width="21" customWidth="1"/>
    <col min="2306" max="2306" width="21" customWidth="1"/>
    <col min="2562" max="2562" width="21" customWidth="1"/>
    <col min="2818" max="2818" width="21" customWidth="1"/>
    <col min="3074" max="3074" width="21" customWidth="1"/>
    <col min="3330" max="3330" width="21" customWidth="1"/>
    <col min="3586" max="3586" width="21" customWidth="1"/>
    <col min="3842" max="3842" width="21" customWidth="1"/>
    <col min="4098" max="4098" width="21" customWidth="1"/>
    <col min="4354" max="4354" width="21" customWidth="1"/>
    <col min="4610" max="4610" width="21" customWidth="1"/>
    <col min="4866" max="4866" width="21" customWidth="1"/>
    <col min="5122" max="5122" width="21" customWidth="1"/>
    <col min="5378" max="5378" width="21" customWidth="1"/>
    <col min="5634" max="5634" width="21" customWidth="1"/>
    <col min="5890" max="5890" width="21" customWidth="1"/>
    <col min="6146" max="6146" width="21" customWidth="1"/>
    <col min="6402" max="6402" width="21" customWidth="1"/>
    <col min="6658" max="6658" width="21" customWidth="1"/>
    <col min="6914" max="6914" width="21" customWidth="1"/>
    <col min="7170" max="7170" width="21" customWidth="1"/>
    <col min="7426" max="7426" width="21" customWidth="1"/>
    <col min="7682" max="7682" width="21" customWidth="1"/>
    <col min="7938" max="7938" width="21" customWidth="1"/>
    <col min="8194" max="8194" width="21" customWidth="1"/>
    <col min="8450" max="8450" width="21" customWidth="1"/>
    <col min="8706" max="8706" width="21" customWidth="1"/>
    <col min="8962" max="8962" width="21" customWidth="1"/>
    <col min="9218" max="9218" width="21" customWidth="1"/>
    <col min="9474" max="9474" width="21" customWidth="1"/>
    <col min="9730" max="9730" width="21" customWidth="1"/>
    <col min="9986" max="9986" width="21" customWidth="1"/>
    <col min="10242" max="10242" width="21" customWidth="1"/>
    <col min="10498" max="10498" width="21" customWidth="1"/>
    <col min="10754" max="10754" width="21" customWidth="1"/>
    <col min="11010" max="11010" width="21" customWidth="1"/>
    <col min="11266" max="11266" width="21" customWidth="1"/>
    <col min="11522" max="11522" width="21" customWidth="1"/>
    <col min="11778" max="11778" width="21" customWidth="1"/>
    <col min="12034" max="12034" width="21" customWidth="1"/>
    <col min="12290" max="12290" width="21" customWidth="1"/>
    <col min="12546" max="12546" width="21" customWidth="1"/>
    <col min="12802" max="12802" width="21" customWidth="1"/>
    <col min="13058" max="13058" width="21" customWidth="1"/>
    <col min="13314" max="13314" width="21" customWidth="1"/>
    <col min="13570" max="13570" width="21" customWidth="1"/>
    <col min="13826" max="13826" width="21" customWidth="1"/>
    <col min="14082" max="14082" width="21" customWidth="1"/>
    <col min="14338" max="14338" width="21" customWidth="1"/>
    <col min="14594" max="14594" width="21" customWidth="1"/>
    <col min="14850" max="14850" width="21" customWidth="1"/>
    <col min="15106" max="15106" width="21" customWidth="1"/>
    <col min="15362" max="15362" width="21" customWidth="1"/>
    <col min="15618" max="15618" width="21" customWidth="1"/>
    <col min="15874" max="15874" width="21" customWidth="1"/>
    <col min="16130" max="16130" width="21" customWidth="1"/>
  </cols>
  <sheetData>
    <row r="2" spans="2:4" ht="13" x14ac:dyDescent="0.3">
      <c r="C2" s="28">
        <v>2021</v>
      </c>
    </row>
    <row r="4" spans="2:4" x14ac:dyDescent="0.25">
      <c r="B4" s="91" t="s">
        <v>329</v>
      </c>
      <c r="C4" s="111">
        <f>1300000+750000+265000</f>
        <v>2315000</v>
      </c>
      <c r="D4" s="81">
        <f>+C4/C8</f>
        <v>0.52434887025468524</v>
      </c>
    </row>
    <row r="5" spans="2:4" x14ac:dyDescent="0.25">
      <c r="B5" t="s">
        <v>77</v>
      </c>
      <c r="C5" s="111">
        <f>1000000</f>
        <v>1000000</v>
      </c>
      <c r="D5" s="81">
        <f>+C5/C8</f>
        <v>0.2265005919026718</v>
      </c>
    </row>
    <row r="6" spans="2:4" x14ac:dyDescent="0.25">
      <c r="B6" s="91" t="s">
        <v>264</v>
      </c>
      <c r="C6" s="111">
        <f>750000</f>
        <v>750000</v>
      </c>
      <c r="D6" s="81">
        <f>C6/C8</f>
        <v>0.16987544392700385</v>
      </c>
    </row>
    <row r="7" spans="2:4" x14ac:dyDescent="0.25">
      <c r="B7" s="91" t="s">
        <v>315</v>
      </c>
      <c r="C7" s="111">
        <f>Summary!$E$14-SUM(Graphs!$C$4:$C$6)</f>
        <v>349999.5</v>
      </c>
      <c r="D7" s="81">
        <f>+C7/C8</f>
        <v>7.927509391563918E-2</v>
      </c>
    </row>
    <row r="8" spans="2:4" x14ac:dyDescent="0.25">
      <c r="C8" s="111">
        <f>SUM(C4:C7)</f>
        <v>4414999.5</v>
      </c>
    </row>
    <row r="11" spans="2:4" x14ac:dyDescent="0.25">
      <c r="C11" s="112"/>
    </row>
    <row r="12" spans="2:4" x14ac:dyDescent="0.25">
      <c r="C12" s="112"/>
    </row>
    <row r="13" spans="2:4" x14ac:dyDescent="0.25">
      <c r="C13" s="188"/>
    </row>
    <row r="40" spans="2:6" ht="13" thickBot="1" x14ac:dyDescent="0.3"/>
    <row r="41" spans="2:6" ht="16" thickTop="1" thickBot="1" x14ac:dyDescent="0.3">
      <c r="B41" s="271" t="s">
        <v>155</v>
      </c>
      <c r="C41" s="273">
        <v>2020</v>
      </c>
      <c r="D41" s="274"/>
      <c r="E41" s="273">
        <v>2021</v>
      </c>
      <c r="F41" s="275"/>
    </row>
    <row r="42" spans="2:6" ht="18" customHeight="1" thickBot="1" x14ac:dyDescent="0.3">
      <c r="B42" s="272"/>
      <c r="C42" s="82" t="s">
        <v>154</v>
      </c>
      <c r="D42" s="82" t="s">
        <v>78</v>
      </c>
      <c r="E42" s="82" t="s">
        <v>154</v>
      </c>
      <c r="F42" s="83" t="s">
        <v>78</v>
      </c>
    </row>
    <row r="43" spans="2:6" ht="16" thickBot="1" x14ac:dyDescent="0.3">
      <c r="B43" s="84" t="s">
        <v>80</v>
      </c>
      <c r="C43" s="88">
        <v>2664674</v>
      </c>
      <c r="D43" s="182">
        <f t="shared" ref="D43:D49" si="0">C43/$C$50</f>
        <v>0.47164855140602535</v>
      </c>
      <c r="E43" s="88">
        <f>Summary!E6</f>
        <v>1325074</v>
      </c>
      <c r="F43" s="183">
        <f t="shared" ref="F43:F49" si="1">E43/$E$50</f>
        <v>0.30013004531484094</v>
      </c>
    </row>
    <row r="44" spans="2:6" ht="16" thickBot="1" x14ac:dyDescent="0.3">
      <c r="B44" s="84" t="s">
        <v>81</v>
      </c>
      <c r="C44" s="88">
        <v>382376.5</v>
      </c>
      <c r="D44" s="182">
        <f t="shared" si="0"/>
        <v>6.7680820361780109E-2</v>
      </c>
      <c r="E44" s="88">
        <f>Summary!E7</f>
        <v>337782.5</v>
      </c>
      <c r="F44" s="183">
        <f t="shared" si="1"/>
        <v>7.6507936184364231E-2</v>
      </c>
    </row>
    <row r="45" spans="2:6" ht="16" thickBot="1" x14ac:dyDescent="0.3">
      <c r="B45" s="84" t="s">
        <v>153</v>
      </c>
      <c r="C45" s="88">
        <v>1011075</v>
      </c>
      <c r="D45" s="182">
        <f t="shared" si="0"/>
        <v>0.17896075058819469</v>
      </c>
      <c r="E45" s="88">
        <f>Summary!E8</f>
        <v>1176575</v>
      </c>
      <c r="F45" s="183">
        <f t="shared" si="1"/>
        <v>0.26649493391788603</v>
      </c>
    </row>
    <row r="46" spans="2:6" ht="16" thickBot="1" x14ac:dyDescent="0.3">
      <c r="B46" s="84" t="str">
        <f>'Annex V 2021 RB XB'!M15</f>
        <v>Business Development</v>
      </c>
      <c r="C46" s="88">
        <v>131000</v>
      </c>
      <c r="D46" s="182">
        <f t="shared" si="0"/>
        <v>2.3187061619616253E-2</v>
      </c>
      <c r="E46" s="88">
        <f>Summary!E9</f>
        <v>140000</v>
      </c>
      <c r="F46" s="183">
        <f t="shared" si="1"/>
        <v>3.1710082866374049E-2</v>
      </c>
    </row>
    <row r="47" spans="2:6" ht="16" thickBot="1" x14ac:dyDescent="0.3">
      <c r="B47" s="84" t="str">
        <f>'Annex V 2021 RB XB'!M19</f>
        <v>Monitoring &amp; Evaluation</v>
      </c>
      <c r="C47" s="88">
        <f>35000</f>
        <v>35000</v>
      </c>
      <c r="D47" s="182">
        <f t="shared" si="0"/>
        <v>6.1950164632562513E-3</v>
      </c>
      <c r="E47" s="88">
        <f>'Annex V 2021 RB XB'!L19</f>
        <v>35000</v>
      </c>
      <c r="F47" s="183">
        <f t="shared" si="1"/>
        <v>7.9275207165935124E-3</v>
      </c>
    </row>
    <row r="48" spans="2:6" ht="16" thickBot="1" x14ac:dyDescent="0.3">
      <c r="B48" s="84" t="s">
        <v>325</v>
      </c>
      <c r="C48" s="88">
        <v>867345</v>
      </c>
      <c r="D48" s="182">
        <f t="shared" si="0"/>
        <v>0.15352047298065694</v>
      </c>
      <c r="E48" s="88">
        <f>Summary!E11</f>
        <v>867345</v>
      </c>
      <c r="F48" s="183">
        <f t="shared" si="1"/>
        <v>0.19645415588382287</v>
      </c>
    </row>
    <row r="49" spans="2:6" ht="16" thickBot="1" x14ac:dyDescent="0.3">
      <c r="B49" s="84" t="s">
        <v>152</v>
      </c>
      <c r="C49" s="88">
        <f>593232-35000</f>
        <v>558232</v>
      </c>
      <c r="D49" s="182">
        <f t="shared" si="0"/>
        <v>9.8807326580470381E-2</v>
      </c>
      <c r="E49" s="88">
        <f>Summary!E12</f>
        <v>533223</v>
      </c>
      <c r="F49" s="183">
        <f t="shared" si="1"/>
        <v>0.12077532511611835</v>
      </c>
    </row>
    <row r="50" spans="2:6" ht="15.5" thickBot="1" x14ac:dyDescent="0.3">
      <c r="B50" s="85" t="s">
        <v>79</v>
      </c>
      <c r="C50" s="89">
        <f>SUM(C43:C49)</f>
        <v>5649702.5</v>
      </c>
      <c r="D50" s="86"/>
      <c r="E50" s="90">
        <f>SUM(E43:E49)</f>
        <v>4414999.5</v>
      </c>
      <c r="F50" s="87"/>
    </row>
    <row r="51" spans="2:6" ht="13" thickTop="1" x14ac:dyDescent="0.25"/>
  </sheetData>
  <mergeCells count="3">
    <mergeCell ref="B41:B42"/>
    <mergeCell ref="C41:D41"/>
    <mergeCell ref="E41:F4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topLeftCell="A10" workbookViewId="0">
      <selection activeCell="F22" sqref="F22"/>
    </sheetView>
  </sheetViews>
  <sheetFormatPr defaultColWidth="8.81640625" defaultRowHeight="12.5" x14ac:dyDescent="0.25"/>
  <cols>
    <col min="2" max="2" width="34.7265625" customWidth="1"/>
    <col min="3" max="3" width="15" bestFit="1" customWidth="1"/>
    <col min="4" max="5" width="15" customWidth="1"/>
    <col min="6" max="7" width="11.1796875" customWidth="1"/>
    <col min="8" max="8" width="33.6328125" customWidth="1"/>
    <col min="9" max="9" width="15.453125" customWidth="1"/>
    <col min="10" max="11" width="12.1796875" customWidth="1"/>
    <col min="12" max="12" width="9.6328125" customWidth="1"/>
    <col min="13" max="13" width="12.81640625" bestFit="1" customWidth="1"/>
  </cols>
  <sheetData>
    <row r="1" spans="1:16" ht="13" thickBot="1" x14ac:dyDescent="0.3">
      <c r="A1" s="92"/>
      <c r="B1" s="92"/>
      <c r="C1" s="92"/>
      <c r="D1" s="92"/>
      <c r="E1" s="92"/>
      <c r="F1" s="92"/>
      <c r="G1" s="92"/>
      <c r="H1" s="92"/>
      <c r="I1" s="157"/>
      <c r="J1" s="157"/>
      <c r="K1" s="157"/>
      <c r="L1" s="157"/>
      <c r="M1" s="92"/>
      <c r="N1" s="92"/>
      <c r="O1" s="92"/>
      <c r="P1" s="92"/>
    </row>
    <row r="2" spans="1:16" ht="13.5" thickBot="1" x14ac:dyDescent="0.35">
      <c r="A2" s="93" t="s">
        <v>84</v>
      </c>
      <c r="B2" s="177" t="s">
        <v>326</v>
      </c>
      <c r="C2" s="178"/>
      <c r="D2" s="178"/>
      <c r="E2" s="178"/>
      <c r="F2" s="179"/>
      <c r="G2" s="181"/>
      <c r="H2" s="181"/>
      <c r="I2" s="181"/>
      <c r="J2" s="181"/>
      <c r="K2" s="181"/>
      <c r="L2" s="226"/>
      <c r="M2" s="92"/>
      <c r="N2" s="92"/>
      <c r="O2" s="92"/>
      <c r="P2" s="92"/>
    </row>
    <row r="3" spans="1:16" ht="13.5" thickBot="1" x14ac:dyDescent="0.35">
      <c r="A3" s="186"/>
      <c r="B3" s="181"/>
      <c r="C3" s="180"/>
      <c r="D3" s="180"/>
      <c r="E3" s="180"/>
      <c r="F3" s="180"/>
      <c r="G3" s="181"/>
      <c r="H3" s="181"/>
      <c r="I3" s="187"/>
      <c r="J3" s="187"/>
      <c r="K3" s="187"/>
      <c r="L3" s="187"/>
      <c r="M3" s="92"/>
      <c r="N3" s="92"/>
      <c r="O3" s="92"/>
      <c r="P3" s="92"/>
    </row>
    <row r="4" spans="1:16" ht="13.5" thickBot="1" x14ac:dyDescent="0.35">
      <c r="A4" s="92"/>
      <c r="B4" s="278" t="s">
        <v>155</v>
      </c>
      <c r="C4" s="280">
        <v>2021</v>
      </c>
      <c r="D4" s="280"/>
      <c r="E4" s="281"/>
      <c r="F4" s="276" t="s">
        <v>78</v>
      </c>
      <c r="G4" s="92"/>
      <c r="H4" s="92"/>
      <c r="I4" s="92"/>
      <c r="J4" s="92"/>
    </row>
    <row r="5" spans="1:16" ht="13.5" thickBot="1" x14ac:dyDescent="0.35">
      <c r="A5" s="92"/>
      <c r="B5" s="279"/>
      <c r="C5" s="167" t="s">
        <v>150</v>
      </c>
      <c r="D5" s="171" t="s">
        <v>151</v>
      </c>
      <c r="E5" s="171" t="s">
        <v>79</v>
      </c>
      <c r="F5" s="277"/>
      <c r="G5" s="92"/>
      <c r="H5" s="92"/>
      <c r="I5" s="92"/>
      <c r="J5" s="92"/>
    </row>
    <row r="6" spans="1:16" ht="13" x14ac:dyDescent="0.3">
      <c r="A6" s="92"/>
      <c r="B6" s="168" t="s">
        <v>80</v>
      </c>
      <c r="C6" s="172">
        <f>'Annex V 2021 RB XB'!L13</f>
        <v>850000</v>
      </c>
      <c r="D6" s="172">
        <f>Workings!D67+11999</f>
        <v>475074</v>
      </c>
      <c r="E6" s="172">
        <f>C6+D6</f>
        <v>1325074</v>
      </c>
      <c r="F6" s="175">
        <f t="shared" ref="F6:F12" si="0">E6/$E$14</f>
        <v>0.30013004531484094</v>
      </c>
      <c r="G6" s="92"/>
      <c r="H6" s="92"/>
      <c r="I6" s="92"/>
      <c r="J6" s="92"/>
    </row>
    <row r="7" spans="1:16" ht="13" x14ac:dyDescent="0.3">
      <c r="A7" s="92"/>
      <c r="B7" s="169" t="s">
        <v>81</v>
      </c>
      <c r="C7" s="173">
        <f>'Annex V 2021 RB XB'!L14</f>
        <v>148560</v>
      </c>
      <c r="D7" s="173">
        <f>Workings!D88</f>
        <v>189222.5</v>
      </c>
      <c r="E7" s="173">
        <f>C7+D7</f>
        <v>337782.5</v>
      </c>
      <c r="F7" s="104">
        <f t="shared" si="0"/>
        <v>7.6507936184364231E-2</v>
      </c>
      <c r="G7" s="92"/>
      <c r="H7" s="92"/>
      <c r="I7" s="92"/>
      <c r="J7" s="92"/>
    </row>
    <row r="8" spans="1:16" ht="13" x14ac:dyDescent="0.3">
      <c r="A8" s="92"/>
      <c r="B8" s="169" t="s">
        <v>263</v>
      </c>
      <c r="C8" s="173">
        <f>'Annex V 2021 RB XB'!L17</f>
        <v>655500</v>
      </c>
      <c r="D8" s="173">
        <f>Workings!D85</f>
        <v>521075</v>
      </c>
      <c r="E8" s="173">
        <f t="shared" ref="E8:E12" si="1">C8+D8</f>
        <v>1176575</v>
      </c>
      <c r="F8" s="104">
        <f t="shared" si="0"/>
        <v>0.26649493391788603</v>
      </c>
      <c r="G8" s="92"/>
      <c r="H8" s="92"/>
      <c r="I8" s="92"/>
      <c r="J8" s="92"/>
    </row>
    <row r="9" spans="1:16" ht="13" x14ac:dyDescent="0.3">
      <c r="A9" s="92"/>
      <c r="B9" s="169" t="s">
        <v>321</v>
      </c>
      <c r="C9" s="173">
        <f>'Annex V 2021 RB XB'!L15</f>
        <v>140000</v>
      </c>
      <c r="D9" s="173">
        <f>0</f>
        <v>0</v>
      </c>
      <c r="E9" s="173">
        <f t="shared" si="1"/>
        <v>140000</v>
      </c>
      <c r="F9" s="104">
        <f t="shared" si="0"/>
        <v>3.1710082866374049E-2</v>
      </c>
      <c r="G9" s="92"/>
      <c r="H9" s="92"/>
      <c r="I9" s="92"/>
      <c r="J9" s="92"/>
    </row>
    <row r="10" spans="1:16" ht="13" x14ac:dyDescent="0.3">
      <c r="A10" s="92"/>
      <c r="B10" s="169" t="str">
        <f>'Annex V 2021 RB XB'!M19</f>
        <v>Monitoring &amp; Evaluation</v>
      </c>
      <c r="C10" s="173">
        <f>'Annex V 2021 RB XB'!L19</f>
        <v>35000</v>
      </c>
      <c r="D10" s="173">
        <f>0</f>
        <v>0</v>
      </c>
      <c r="E10" s="173">
        <f t="shared" si="1"/>
        <v>35000</v>
      </c>
      <c r="F10" s="104">
        <f t="shared" si="0"/>
        <v>7.9275207165935124E-3</v>
      </c>
      <c r="G10" s="92"/>
      <c r="H10" s="92"/>
      <c r="I10" s="92"/>
      <c r="J10" s="92"/>
    </row>
    <row r="11" spans="1:16" ht="13" x14ac:dyDescent="0.3">
      <c r="A11" s="92"/>
      <c r="B11" s="169" t="s">
        <v>325</v>
      </c>
      <c r="C11" s="173"/>
      <c r="D11" s="173">
        <f>Workings!D77+Workings!D60</f>
        <v>867345</v>
      </c>
      <c r="E11" s="173">
        <f t="shared" si="1"/>
        <v>867345</v>
      </c>
      <c r="F11" s="104">
        <f t="shared" si="0"/>
        <v>0.19645415588382287</v>
      </c>
      <c r="G11" s="92"/>
      <c r="H11" s="92"/>
      <c r="I11" s="92"/>
      <c r="J11" s="92"/>
    </row>
    <row r="12" spans="1:16" ht="13.5" thickBot="1" x14ac:dyDescent="0.35">
      <c r="A12" s="92"/>
      <c r="B12" s="170" t="s">
        <v>152</v>
      </c>
      <c r="C12" s="174">
        <f>'Annex V 2021 RB XB'!L18</f>
        <v>533223</v>
      </c>
      <c r="D12" s="174"/>
      <c r="E12" s="174">
        <f t="shared" si="1"/>
        <v>533223</v>
      </c>
      <c r="F12" s="105">
        <f t="shared" si="0"/>
        <v>0.12077532511611835</v>
      </c>
      <c r="G12" s="92"/>
      <c r="H12" s="92"/>
      <c r="I12" s="92"/>
      <c r="J12" s="92"/>
    </row>
    <row r="13" spans="1:16" x14ac:dyDescent="0.25">
      <c r="A13" s="92"/>
      <c r="B13" s="92"/>
      <c r="C13" s="92"/>
      <c r="D13" s="92"/>
      <c r="E13" s="92"/>
      <c r="F13" s="92"/>
      <c r="G13" s="92"/>
      <c r="H13" s="92"/>
      <c r="I13" s="92"/>
      <c r="J13" s="92"/>
    </row>
    <row r="14" spans="1:16" ht="13.5" thickBot="1" x14ac:dyDescent="0.35">
      <c r="A14" s="92"/>
      <c r="B14" s="97" t="s">
        <v>52</v>
      </c>
      <c r="C14" s="106">
        <f>SUM(C6:C13)</f>
        <v>2362283</v>
      </c>
      <c r="D14" s="106">
        <f t="shared" ref="D14:E14" si="2">SUM(D6:D13)</f>
        <v>2052716.5</v>
      </c>
      <c r="E14" s="106">
        <f t="shared" si="2"/>
        <v>4414999.5</v>
      </c>
      <c r="F14" s="102">
        <f>SUM(F6:F12)</f>
        <v>1</v>
      </c>
      <c r="G14" s="92"/>
      <c r="H14" s="92"/>
      <c r="I14" s="92"/>
      <c r="J14" s="92"/>
    </row>
    <row r="15" spans="1:16" ht="13" thickTop="1" x14ac:dyDescent="0.25">
      <c r="A15" s="92"/>
      <c r="B15" s="92"/>
      <c r="C15" s="92"/>
      <c r="D15" s="92"/>
      <c r="E15" s="92"/>
      <c r="F15" s="92"/>
      <c r="G15" s="157"/>
      <c r="H15" s="157"/>
      <c r="I15" s="92"/>
      <c r="J15" s="92"/>
      <c r="K15" s="92"/>
      <c r="L15" s="157"/>
      <c r="M15" s="92"/>
      <c r="N15" s="92"/>
      <c r="O15" s="92"/>
      <c r="P15" s="92"/>
    </row>
    <row r="16" spans="1:16" ht="13" thickBot="1" x14ac:dyDescent="0.3">
      <c r="A16" s="92"/>
      <c r="B16" s="92"/>
      <c r="C16" s="92"/>
      <c r="D16" s="92"/>
      <c r="E16" s="92"/>
      <c r="F16" s="92"/>
      <c r="G16" s="157"/>
      <c r="H16" s="157"/>
      <c r="I16" s="92"/>
      <c r="J16" s="92"/>
      <c r="K16" s="92"/>
      <c r="L16" s="157"/>
      <c r="M16" s="92"/>
      <c r="N16" s="92"/>
      <c r="O16" s="92"/>
      <c r="P16" s="92"/>
    </row>
    <row r="17" spans="1:16" ht="13.5" thickBot="1" x14ac:dyDescent="0.35">
      <c r="A17" s="93" t="s">
        <v>85</v>
      </c>
      <c r="B17" s="177" t="s">
        <v>327</v>
      </c>
      <c r="C17" s="178"/>
      <c r="D17" s="179"/>
      <c r="E17" s="181"/>
      <c r="F17" s="181"/>
      <c r="G17" s="181"/>
      <c r="H17" s="181"/>
      <c r="I17" s="92"/>
      <c r="J17" s="92"/>
      <c r="K17" s="92"/>
      <c r="L17" s="92"/>
    </row>
    <row r="18" spans="1:16" ht="13.5" thickBot="1" x14ac:dyDescent="0.35">
      <c r="A18" s="92"/>
      <c r="B18" s="190"/>
      <c r="C18" s="227">
        <v>2021</v>
      </c>
      <c r="D18" s="228" t="s">
        <v>78</v>
      </c>
      <c r="E18" s="92"/>
      <c r="F18" s="92"/>
      <c r="G18" s="92"/>
      <c r="H18" s="92"/>
      <c r="I18" s="92"/>
      <c r="J18" s="92"/>
      <c r="K18" s="92"/>
      <c r="L18" s="92"/>
    </row>
    <row r="19" spans="1:16" ht="13" x14ac:dyDescent="0.3">
      <c r="A19" s="92"/>
      <c r="B19" s="94" t="s">
        <v>314</v>
      </c>
      <c r="C19" s="99">
        <f>Graphs!C4</f>
        <v>2315000</v>
      </c>
      <c r="D19" s="103">
        <f>C19/$C$23</f>
        <v>0.52434887025468524</v>
      </c>
      <c r="E19" s="92"/>
      <c r="F19" s="92"/>
      <c r="G19" s="185">
        <f>(C6+C8-260000-340000)/39</f>
        <v>23217.948717948719</v>
      </c>
      <c r="H19" s="92"/>
      <c r="I19" s="92"/>
      <c r="J19" s="92"/>
      <c r="K19" s="92"/>
      <c r="L19" s="92"/>
    </row>
    <row r="20" spans="1:16" ht="13" x14ac:dyDescent="0.3">
      <c r="A20" s="92"/>
      <c r="B20" s="95" t="s">
        <v>330</v>
      </c>
      <c r="C20" s="100">
        <f>SUM(Graphs!$C$5:$C$6)</f>
        <v>1750000</v>
      </c>
      <c r="D20" s="104">
        <f>C20/$C$23</f>
        <v>0.39637603582967562</v>
      </c>
      <c r="E20" s="92"/>
      <c r="F20" s="92"/>
      <c r="G20" s="261"/>
      <c r="H20" s="184"/>
      <c r="I20" s="92"/>
      <c r="J20" s="92"/>
      <c r="K20" s="92"/>
      <c r="L20" s="92"/>
    </row>
    <row r="21" spans="1:16" ht="13.5" thickBot="1" x14ac:dyDescent="0.35">
      <c r="A21" s="92"/>
      <c r="B21" s="96" t="s">
        <v>331</v>
      </c>
      <c r="C21" s="101">
        <f>Graphs!C7</f>
        <v>349999.5</v>
      </c>
      <c r="D21" s="105">
        <f>C21/$C$23</f>
        <v>7.927509391563918E-2</v>
      </c>
      <c r="E21" s="92"/>
      <c r="F21" s="92"/>
      <c r="G21" s="92"/>
      <c r="H21" s="184"/>
      <c r="I21" s="185"/>
      <c r="J21" s="92"/>
      <c r="K21" s="92"/>
      <c r="L21" s="92"/>
    </row>
    <row r="22" spans="1:16" x14ac:dyDescent="0.25">
      <c r="A22" s="92"/>
      <c r="B22" s="92"/>
      <c r="C22" s="92"/>
      <c r="D22" s="92"/>
      <c r="E22" s="92"/>
      <c r="F22" s="92"/>
      <c r="G22" s="92"/>
      <c r="H22" s="92"/>
      <c r="I22" s="185"/>
      <c r="J22" s="92"/>
      <c r="K22" s="92"/>
      <c r="L22" s="92"/>
    </row>
    <row r="23" spans="1:16" ht="13.5" thickBot="1" x14ac:dyDescent="0.35">
      <c r="A23" s="92"/>
      <c r="B23" s="97" t="s">
        <v>52</v>
      </c>
      <c r="C23" s="98">
        <f>SUM(C19:C22)</f>
        <v>4414999.5</v>
      </c>
      <c r="D23" s="102">
        <f>SUM(D19:D21)</f>
        <v>1</v>
      </c>
      <c r="E23" s="92"/>
      <c r="F23" s="92"/>
      <c r="G23" s="92"/>
      <c r="H23" s="92"/>
      <c r="I23" s="185"/>
      <c r="J23" s="92"/>
      <c r="K23" s="92"/>
      <c r="L23" s="92"/>
    </row>
    <row r="24" spans="1:16" ht="13" thickTop="1" x14ac:dyDescent="0.25">
      <c r="A24" s="92"/>
      <c r="B24" s="92"/>
      <c r="C24" s="92"/>
      <c r="D24" s="92"/>
      <c r="E24" s="92"/>
      <c r="F24" s="92"/>
      <c r="G24" s="92"/>
      <c r="H24" s="92"/>
      <c r="J24" s="92"/>
      <c r="L24" s="157"/>
      <c r="M24" s="185"/>
      <c r="N24" s="92"/>
      <c r="O24" s="92"/>
      <c r="P24" s="92"/>
    </row>
    <row r="25" spans="1:16" x14ac:dyDescent="0.25">
      <c r="A25" s="157"/>
      <c r="B25" s="157"/>
      <c r="C25" s="157"/>
      <c r="D25" s="157"/>
      <c r="E25" s="157"/>
      <c r="F25" s="157"/>
      <c r="G25" s="157"/>
      <c r="H25" s="157"/>
      <c r="I25" s="157"/>
      <c r="J25" s="157"/>
      <c r="K25" s="157"/>
      <c r="L25" s="157"/>
      <c r="M25" s="185"/>
      <c r="N25" s="92"/>
      <c r="O25" s="92"/>
      <c r="P25" s="92"/>
    </row>
    <row r="26" spans="1:16" x14ac:dyDescent="0.25">
      <c r="A26" s="157"/>
      <c r="B26" s="157"/>
      <c r="C26" s="157"/>
      <c r="D26" s="157"/>
      <c r="E26" s="157"/>
      <c r="F26" s="157"/>
      <c r="G26" s="157"/>
      <c r="H26" s="157"/>
      <c r="I26" s="157"/>
      <c r="J26" s="157"/>
      <c r="K26" s="157"/>
      <c r="L26" s="157"/>
      <c r="M26" s="185"/>
      <c r="N26" s="92"/>
      <c r="O26" s="92"/>
      <c r="P26" s="92"/>
    </row>
    <row r="27" spans="1:16" x14ac:dyDescent="0.25">
      <c r="A27" s="92"/>
      <c r="B27" s="92"/>
      <c r="C27" s="92"/>
      <c r="D27" s="92"/>
      <c r="E27" s="92"/>
      <c r="F27" s="92"/>
      <c r="G27" s="92"/>
      <c r="H27" s="92"/>
      <c r="I27" s="92"/>
      <c r="J27" s="92"/>
      <c r="K27" s="92"/>
      <c r="L27" s="92"/>
      <c r="M27" s="92"/>
      <c r="N27" s="92"/>
      <c r="O27" s="92"/>
      <c r="P27" s="92"/>
    </row>
    <row r="28" spans="1:16" x14ac:dyDescent="0.25">
      <c r="A28" s="92"/>
      <c r="B28" s="92"/>
      <c r="C28" s="92"/>
      <c r="D28" s="92"/>
      <c r="E28" s="92"/>
      <c r="F28" s="92"/>
      <c r="G28" s="92"/>
      <c r="H28" s="92"/>
      <c r="I28" s="92"/>
      <c r="J28" s="92"/>
      <c r="K28" s="92"/>
      <c r="L28" s="92"/>
      <c r="M28" s="92"/>
    </row>
    <row r="29" spans="1:16" x14ac:dyDescent="0.25">
      <c r="A29" s="92"/>
      <c r="B29" s="92"/>
      <c r="C29" s="92"/>
      <c r="D29" s="92"/>
      <c r="E29" s="92"/>
      <c r="F29" s="92"/>
      <c r="G29" s="92"/>
      <c r="H29" s="92"/>
      <c r="I29" s="92"/>
      <c r="J29" s="92"/>
      <c r="K29" s="92"/>
      <c r="L29" s="92"/>
      <c r="M29" s="92"/>
    </row>
    <row r="30" spans="1:16" x14ac:dyDescent="0.25">
      <c r="A30" s="92"/>
      <c r="B30" s="92"/>
      <c r="C30" s="92"/>
      <c r="D30" s="92"/>
      <c r="E30" s="92"/>
      <c r="F30" s="92"/>
      <c r="G30" s="92"/>
      <c r="H30" s="92"/>
      <c r="I30" s="92"/>
      <c r="J30" s="92"/>
      <c r="K30" s="92"/>
      <c r="L30" s="92"/>
      <c r="M30" s="92"/>
    </row>
    <row r="31" spans="1:16" x14ac:dyDescent="0.25">
      <c r="A31" s="92"/>
      <c r="B31" s="92"/>
      <c r="C31" s="92"/>
      <c r="D31" s="92"/>
      <c r="E31" s="92"/>
      <c r="F31" s="92"/>
      <c r="G31" s="92"/>
      <c r="H31" s="92"/>
      <c r="I31" s="92"/>
      <c r="J31" s="92"/>
      <c r="K31" s="92"/>
      <c r="L31" s="92"/>
      <c r="M31" s="92"/>
    </row>
    <row r="32" spans="1:16" x14ac:dyDescent="0.25">
      <c r="A32" s="92"/>
      <c r="B32" s="92"/>
      <c r="C32" s="92"/>
      <c r="D32" s="92"/>
      <c r="E32" s="92"/>
      <c r="F32" s="92"/>
      <c r="G32" s="92"/>
      <c r="H32" s="92"/>
      <c r="I32" s="92"/>
      <c r="J32" s="92"/>
      <c r="K32" s="92"/>
      <c r="L32" s="92"/>
      <c r="M32" s="92"/>
    </row>
    <row r="33" spans="1:13" x14ac:dyDescent="0.25">
      <c r="A33" s="92"/>
      <c r="B33" s="92"/>
      <c r="C33" s="92"/>
      <c r="D33" s="92"/>
      <c r="E33" s="92"/>
      <c r="F33" s="92"/>
      <c r="G33" s="92"/>
      <c r="H33" s="92"/>
      <c r="I33" s="92"/>
      <c r="J33" s="92"/>
      <c r="K33" s="92"/>
      <c r="L33" s="92"/>
      <c r="M33" s="92"/>
    </row>
    <row r="34" spans="1:13" x14ac:dyDescent="0.25">
      <c r="A34" s="92"/>
      <c r="B34" s="92"/>
      <c r="C34" s="92"/>
      <c r="D34" s="92"/>
      <c r="E34" s="92"/>
      <c r="F34" s="92"/>
      <c r="G34" s="92"/>
      <c r="H34" s="92"/>
      <c r="I34" s="92"/>
      <c r="J34" s="92"/>
      <c r="K34" s="92"/>
      <c r="L34" s="92"/>
      <c r="M34" s="92"/>
    </row>
    <row r="35" spans="1:13" x14ac:dyDescent="0.25">
      <c r="A35" s="92"/>
      <c r="B35" s="92"/>
      <c r="C35" s="92"/>
      <c r="D35" s="92"/>
      <c r="E35" s="92"/>
      <c r="F35" s="92"/>
      <c r="G35" s="92"/>
      <c r="H35" s="92"/>
      <c r="I35" s="92"/>
      <c r="J35" s="92"/>
      <c r="K35" s="92"/>
      <c r="L35" s="92"/>
      <c r="M35" s="92"/>
    </row>
    <row r="36" spans="1:13" x14ac:dyDescent="0.25">
      <c r="A36" s="92"/>
      <c r="B36" s="92"/>
      <c r="C36" s="92"/>
      <c r="D36" s="92"/>
      <c r="E36" s="92"/>
      <c r="F36" s="92"/>
      <c r="G36" s="92"/>
      <c r="H36" s="92"/>
      <c r="I36" s="92"/>
      <c r="J36" s="92"/>
      <c r="K36" s="92"/>
      <c r="L36" s="92"/>
      <c r="M36" s="92"/>
    </row>
    <row r="37" spans="1:13" x14ac:dyDescent="0.25">
      <c r="A37" s="92"/>
      <c r="B37" s="92"/>
      <c r="C37" s="92"/>
      <c r="D37" s="92"/>
      <c r="E37" s="92"/>
      <c r="F37" s="92"/>
      <c r="G37" s="92"/>
      <c r="H37" s="92"/>
      <c r="I37" s="92"/>
      <c r="J37" s="92"/>
      <c r="K37" s="92"/>
      <c r="L37" s="92"/>
      <c r="M37" s="92"/>
    </row>
    <row r="38" spans="1:13" x14ac:dyDescent="0.25">
      <c r="A38" s="92"/>
      <c r="B38" s="92"/>
      <c r="C38" s="92"/>
      <c r="D38" s="92"/>
      <c r="E38" s="92"/>
      <c r="F38" s="92"/>
      <c r="G38" s="92"/>
      <c r="H38" s="92"/>
      <c r="I38" s="92"/>
      <c r="J38" s="92"/>
      <c r="K38" s="92"/>
      <c r="L38" s="92"/>
      <c r="M38" s="92"/>
    </row>
    <row r="39" spans="1:13" x14ac:dyDescent="0.25">
      <c r="A39" s="92"/>
      <c r="B39" s="92"/>
      <c r="C39" s="92"/>
      <c r="D39" s="92"/>
      <c r="E39" s="92"/>
      <c r="F39" s="92"/>
      <c r="G39" s="92"/>
      <c r="H39" s="92"/>
      <c r="I39" s="92"/>
      <c r="J39" s="92"/>
      <c r="K39" s="92"/>
      <c r="L39" s="92"/>
      <c r="M39" s="92"/>
    </row>
    <row r="40" spans="1:13" x14ac:dyDescent="0.25">
      <c r="A40" s="92"/>
      <c r="B40" s="92"/>
      <c r="C40" s="92"/>
      <c r="D40" s="92"/>
      <c r="E40" s="92"/>
      <c r="F40" s="92"/>
      <c r="G40" s="92"/>
      <c r="H40" s="92"/>
      <c r="I40" s="92"/>
      <c r="J40" s="92"/>
      <c r="K40" s="92"/>
      <c r="L40" s="92"/>
      <c r="M40" s="92"/>
    </row>
  </sheetData>
  <mergeCells count="3">
    <mergeCell ref="F4:F5"/>
    <mergeCell ref="B4:B5"/>
    <mergeCell ref="C4:E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20"/>
  <sheetViews>
    <sheetView view="pageBreakPreview" zoomScale="75" zoomScaleNormal="60" zoomScalePageLayoutView="60" workbookViewId="0">
      <selection activeCell="C17" sqref="C17"/>
    </sheetView>
  </sheetViews>
  <sheetFormatPr defaultColWidth="9.1796875" defaultRowHeight="12.5" x14ac:dyDescent="0.25"/>
  <cols>
    <col min="1" max="1" width="3.36328125" customWidth="1"/>
    <col min="2" max="2" width="12.6328125" customWidth="1"/>
    <col min="3" max="3" width="84.1796875" bestFit="1" customWidth="1"/>
    <col min="4" max="4" width="14" customWidth="1"/>
    <col min="5" max="5" width="40" customWidth="1"/>
    <col min="6" max="6" width="2.453125" customWidth="1"/>
    <col min="7" max="7" width="15.453125" customWidth="1"/>
    <col min="9" max="9" width="9.81640625" bestFit="1" customWidth="1"/>
  </cols>
  <sheetData>
    <row r="1" spans="2:11" ht="18" x14ac:dyDescent="0.4">
      <c r="B1" s="282"/>
      <c r="C1" s="283"/>
      <c r="D1" s="283"/>
      <c r="E1" s="283"/>
      <c r="F1" s="283"/>
    </row>
    <row r="2" spans="2:11" ht="20" x14ac:dyDescent="0.4">
      <c r="B2" s="284" t="s">
        <v>49</v>
      </c>
      <c r="C2" s="284"/>
      <c r="D2" s="284"/>
      <c r="E2" s="284"/>
    </row>
    <row r="3" spans="2:11" ht="20" x14ac:dyDescent="0.4">
      <c r="B3" s="284" t="s">
        <v>328</v>
      </c>
      <c r="C3" s="284"/>
      <c r="D3" s="284"/>
      <c r="E3" s="284"/>
    </row>
    <row r="8" spans="2:11" s="8" customFormat="1" ht="31" x14ac:dyDescent="0.25">
      <c r="B8" s="4" t="s">
        <v>50</v>
      </c>
      <c r="C8" s="5" t="s">
        <v>0</v>
      </c>
      <c r="D8" s="6" t="s">
        <v>51</v>
      </c>
      <c r="E8" s="5" t="s">
        <v>298</v>
      </c>
      <c r="F8" s="7"/>
    </row>
    <row r="9" spans="2:11" s="48" customFormat="1" ht="25" customHeight="1" x14ac:dyDescent="0.25">
      <c r="B9" s="107">
        <v>1100</v>
      </c>
      <c r="C9" s="42" t="s">
        <v>88</v>
      </c>
      <c r="D9" s="38">
        <f>36*3</f>
        <v>108</v>
      </c>
      <c r="E9" s="43">
        <f>Workings!E41</f>
        <v>930142.5</v>
      </c>
      <c r="F9" s="47"/>
      <c r="G9" s="192"/>
      <c r="H9" s="47"/>
      <c r="I9" s="47"/>
      <c r="J9" s="47"/>
      <c r="K9" s="47"/>
    </row>
    <row r="10" spans="2:11" s="48" customFormat="1" ht="25" customHeight="1" x14ac:dyDescent="0.25">
      <c r="B10" s="107">
        <v>1112</v>
      </c>
      <c r="C10" s="39" t="s">
        <v>87</v>
      </c>
      <c r="D10" s="44"/>
      <c r="E10" s="45">
        <f>50000</f>
        <v>50000</v>
      </c>
      <c r="F10" s="47"/>
      <c r="G10" s="192"/>
      <c r="H10" s="47"/>
      <c r="I10" s="47"/>
      <c r="J10" s="47"/>
      <c r="K10" s="47"/>
    </row>
    <row r="11" spans="2:11" s="48" customFormat="1" ht="25" customHeight="1" x14ac:dyDescent="0.25">
      <c r="B11" s="107">
        <v>1301</v>
      </c>
      <c r="C11" s="46" t="s">
        <v>67</v>
      </c>
      <c r="D11" s="44"/>
      <c r="E11" s="45">
        <f>116000</f>
        <v>116000</v>
      </c>
      <c r="F11" s="47"/>
      <c r="G11" s="192"/>
      <c r="H11" s="47"/>
      <c r="I11" s="47"/>
      <c r="J11" s="47"/>
      <c r="K11" s="47"/>
    </row>
    <row r="12" spans="2:11" s="48" customFormat="1" ht="25" customHeight="1" x14ac:dyDescent="0.25">
      <c r="B12" s="107">
        <v>1601</v>
      </c>
      <c r="C12" s="39" t="s">
        <v>86</v>
      </c>
      <c r="D12" s="44"/>
      <c r="E12" s="45">
        <f>60000</f>
        <v>60000</v>
      </c>
      <c r="F12" s="47"/>
      <c r="G12" s="192"/>
      <c r="H12" s="47"/>
      <c r="I12" s="47"/>
      <c r="J12" s="47"/>
      <c r="K12" s="47"/>
    </row>
    <row r="13" spans="2:11" s="48" customFormat="1" ht="25" customHeight="1" x14ac:dyDescent="0.25">
      <c r="B13" s="107">
        <v>3201</v>
      </c>
      <c r="C13" s="39" t="s">
        <v>68</v>
      </c>
      <c r="D13" s="39"/>
      <c r="E13" s="45">
        <f>1300000-SUM(E9:E12)</f>
        <v>143857.5</v>
      </c>
      <c r="F13" s="47"/>
      <c r="G13" s="192"/>
      <c r="H13" s="47"/>
      <c r="I13" s="158"/>
      <c r="J13" s="47"/>
      <c r="K13" s="47"/>
    </row>
    <row r="14" spans="2:11" s="48" customFormat="1" ht="25" customHeight="1" x14ac:dyDescent="0.25">
      <c r="B14" s="41"/>
      <c r="C14" s="39"/>
      <c r="D14" s="40"/>
      <c r="E14" s="43"/>
      <c r="F14" s="47"/>
      <c r="G14" s="192"/>
      <c r="H14" s="47"/>
      <c r="I14" s="47"/>
      <c r="J14" s="47"/>
      <c r="K14" s="47"/>
    </row>
    <row r="15" spans="2:11" ht="15.5" x14ac:dyDescent="0.35">
      <c r="B15" s="9"/>
      <c r="C15" s="14"/>
      <c r="D15" s="10"/>
      <c r="E15" s="15"/>
      <c r="F15" s="12"/>
      <c r="G15" s="193"/>
      <c r="H15" s="12"/>
      <c r="I15" s="12"/>
      <c r="J15" s="12"/>
      <c r="K15" s="12"/>
    </row>
    <row r="16" spans="2:11" ht="28.5" customHeight="1" x14ac:dyDescent="0.4">
      <c r="B16" s="9"/>
      <c r="C16" s="16" t="s">
        <v>52</v>
      </c>
      <c r="D16" s="17"/>
      <c r="E16" s="18">
        <f>SUM(E9:E14)</f>
        <v>1300000</v>
      </c>
      <c r="F16" s="12"/>
      <c r="G16" s="193"/>
      <c r="H16" s="12"/>
      <c r="I16" s="12"/>
      <c r="J16" s="12"/>
      <c r="K16" s="12"/>
    </row>
    <row r="17" spans="2:6" ht="20" x14ac:dyDescent="0.4">
      <c r="B17" s="19"/>
      <c r="C17" s="13"/>
      <c r="D17" s="20"/>
      <c r="E17" s="13"/>
      <c r="F17" s="11"/>
    </row>
    <row r="20" spans="2:6" x14ac:dyDescent="0.25">
      <c r="E20" s="49"/>
    </row>
  </sheetData>
  <mergeCells count="3">
    <mergeCell ref="B1:F1"/>
    <mergeCell ref="B2:E2"/>
    <mergeCell ref="B3:E3"/>
  </mergeCells>
  <pageMargins left="1.3385826771653544" right="0.74803149606299213" top="0.98425196850393704" bottom="0.98425196850393704" header="0.51181102362204722" footer="0.51181102362204722"/>
  <pageSetup paperSize="9" scale="73" orientation="landscape"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9"/>
  <sheetViews>
    <sheetView workbookViewId="0">
      <selection activeCell="C14" sqref="C14"/>
    </sheetView>
  </sheetViews>
  <sheetFormatPr defaultColWidth="9.1796875" defaultRowHeight="12.5" x14ac:dyDescent="0.25"/>
  <cols>
    <col min="1" max="1" width="6.453125" customWidth="1"/>
    <col min="2" max="2" width="44.1796875" customWidth="1"/>
    <col min="3" max="3" width="11.36328125" customWidth="1"/>
    <col min="4" max="6" width="11.453125" customWidth="1"/>
    <col min="7" max="7" width="12.36328125" customWidth="1"/>
    <col min="8" max="8" width="11.453125" customWidth="1"/>
  </cols>
  <sheetData>
    <row r="1" spans="1:8" ht="12" customHeight="1" thickBot="1" x14ac:dyDescent="0.5">
      <c r="C1" s="1"/>
      <c r="G1" s="3"/>
    </row>
    <row r="2" spans="1:8" ht="24" customHeight="1" thickBot="1" x14ac:dyDescent="0.4">
      <c r="A2" s="288" t="s">
        <v>159</v>
      </c>
      <c r="B2" s="289"/>
      <c r="C2" s="289"/>
      <c r="D2" s="289"/>
      <c r="E2" s="289"/>
      <c r="F2" s="289"/>
      <c r="G2" s="290"/>
    </row>
    <row r="3" spans="1:8" x14ac:dyDescent="0.25">
      <c r="A3" s="291" t="s">
        <v>50</v>
      </c>
      <c r="B3" s="294" t="s">
        <v>0</v>
      </c>
      <c r="C3" s="297" t="s">
        <v>318</v>
      </c>
      <c r="D3" s="63">
        <v>2021</v>
      </c>
      <c r="E3" s="285" t="s">
        <v>319</v>
      </c>
      <c r="F3" s="285" t="s">
        <v>320</v>
      </c>
      <c r="G3" s="231" t="s">
        <v>304</v>
      </c>
    </row>
    <row r="4" spans="1:8" x14ac:dyDescent="0.25">
      <c r="A4" s="292"/>
      <c r="B4" s="295"/>
      <c r="C4" s="298"/>
      <c r="D4" s="229" t="s">
        <v>1</v>
      </c>
      <c r="E4" s="286"/>
      <c r="F4" s="286"/>
      <c r="G4" s="232">
        <v>2019</v>
      </c>
    </row>
    <row r="5" spans="1:8" ht="13" thickBot="1" x14ac:dyDescent="0.3">
      <c r="A5" s="293"/>
      <c r="B5" s="296"/>
      <c r="C5" s="299"/>
      <c r="D5" s="230" t="s">
        <v>2</v>
      </c>
      <c r="E5" s="287"/>
      <c r="F5" s="287"/>
      <c r="G5" s="233" t="s">
        <v>48</v>
      </c>
    </row>
    <row r="6" spans="1:8" ht="20" customHeight="1" x14ac:dyDescent="0.25">
      <c r="A6" s="50">
        <v>1100</v>
      </c>
      <c r="B6" s="51" t="s">
        <v>4</v>
      </c>
      <c r="C6" s="266">
        <f>'Annex V 2021 RB XB'!C7</f>
        <v>1036217</v>
      </c>
      <c r="D6" s="155">
        <f>'Annex V 2021 RB XB'!D7</f>
        <v>1036217</v>
      </c>
      <c r="E6" s="60">
        <f>'Annex V 2021 RB XB'!E7+'Annex V 2021 RB XB'!G7+'Annex V 2021 RB XB'!H7+'Annex V 2021 RB XB'!I7</f>
        <v>264075</v>
      </c>
      <c r="F6" s="60">
        <f>'Annex V 2021 RB XB'!F7</f>
        <v>772142</v>
      </c>
      <c r="G6" s="269">
        <f>+E6+F6</f>
        <v>1036217</v>
      </c>
    </row>
    <row r="7" spans="1:8" ht="20" customHeight="1" x14ac:dyDescent="0.25">
      <c r="A7" s="52">
        <v>1102</v>
      </c>
      <c r="B7" s="53" t="s">
        <v>69</v>
      </c>
      <c r="C7" s="267">
        <f>'Annex V 2021 RB XB'!C8</f>
        <v>40000</v>
      </c>
      <c r="D7" s="156">
        <f>'Annex V 2021 RB XB'!D8</f>
        <v>40000</v>
      </c>
      <c r="E7" s="153">
        <f>'Annex V 2021 RB XB'!E8+'Annex V 2021 RB XB'!G8+'Annex V 2021 RB XB'!H8+'Annex V 2021 RB XB'!I8</f>
        <v>0</v>
      </c>
      <c r="F7" s="153">
        <f>'Annex V 2021 RB XB'!F8</f>
        <v>40000</v>
      </c>
      <c r="G7" s="270">
        <f>+E7+F7</f>
        <v>40000</v>
      </c>
    </row>
    <row r="8" spans="1:8" ht="20" customHeight="1" x14ac:dyDescent="0.25">
      <c r="A8" s="52">
        <v>1112</v>
      </c>
      <c r="B8" s="53" t="s">
        <v>5</v>
      </c>
      <c r="C8" s="267">
        <f>'Annex V 2021 RB XB'!C9</f>
        <v>40000</v>
      </c>
      <c r="D8" s="156">
        <f>'Annex V 2021 RB XB'!D9</f>
        <v>40000</v>
      </c>
      <c r="E8" s="153">
        <f>'Annex V 2021 RB XB'!E9+'Annex V 2021 RB XB'!G9+'Annex V 2021 RB XB'!H9+'Annex V 2021 RB XB'!I9</f>
        <v>0</v>
      </c>
      <c r="F8" s="153">
        <f>'Annex V 2021 RB XB'!F9</f>
        <v>40000</v>
      </c>
      <c r="G8" s="270">
        <f t="shared" ref="G8:G56" si="0">+E8+F8</f>
        <v>40000</v>
      </c>
    </row>
    <row r="9" spans="1:8" ht="20" customHeight="1" x14ac:dyDescent="0.25">
      <c r="A9" s="52">
        <v>1113</v>
      </c>
      <c r="B9" s="53" t="s">
        <v>16</v>
      </c>
      <c r="C9" s="267">
        <f>'Annex V 2021 RB XB'!C10</f>
        <v>0</v>
      </c>
      <c r="D9" s="156">
        <f>'Annex V 2021 RB XB'!D10</f>
        <v>80000</v>
      </c>
      <c r="E9" s="153">
        <f>'Annex V 2021 RB XB'!E10+'Annex V 2021 RB XB'!G10+'Annex V 2021 RB XB'!H10+'Annex V 2021 RB XB'!I10</f>
        <v>80000</v>
      </c>
      <c r="F9" s="153">
        <f>'Annex V 2021 RB XB'!F10</f>
        <v>0</v>
      </c>
      <c r="G9" s="270">
        <f t="shared" si="0"/>
        <v>80000</v>
      </c>
    </row>
    <row r="10" spans="1:8" s="28" customFormat="1" ht="20" customHeight="1" x14ac:dyDescent="0.3">
      <c r="A10" s="52">
        <v>1115</v>
      </c>
      <c r="B10" s="53" t="s">
        <v>35</v>
      </c>
      <c r="C10" s="267">
        <f>'Annex V 2021 RB XB'!C11</f>
        <v>120000</v>
      </c>
      <c r="D10" s="156">
        <f>'Annex V 2021 RB XB'!D11</f>
        <v>19000</v>
      </c>
      <c r="E10" s="153">
        <f>'Annex V 2021 RB XB'!E11+'Annex V 2021 RB XB'!G11+'Annex V 2021 RB XB'!H11+'Annex V 2021 RB XB'!I11</f>
        <v>19000</v>
      </c>
      <c r="F10" s="153">
        <f>'Annex V 2021 RB XB'!F11</f>
        <v>0</v>
      </c>
      <c r="G10" s="270">
        <f t="shared" si="0"/>
        <v>19000</v>
      </c>
      <c r="H10" s="61"/>
    </row>
    <row r="11" spans="1:8" s="28" customFormat="1" ht="20" customHeight="1" x14ac:dyDescent="0.3">
      <c r="A11" s="52">
        <v>1116</v>
      </c>
      <c r="B11" s="53" t="s">
        <v>36</v>
      </c>
      <c r="C11" s="267">
        <f>'Annex V 2021 RB XB'!C12</f>
        <v>0</v>
      </c>
      <c r="D11" s="156">
        <f>'Annex V 2021 RB XB'!D12</f>
        <v>0</v>
      </c>
      <c r="E11" s="153">
        <f>'Annex V 2021 RB XB'!E12+'Annex V 2021 RB XB'!G12+'Annex V 2021 RB XB'!H12+'Annex V 2021 RB XB'!I12</f>
        <v>0</v>
      </c>
      <c r="F11" s="153">
        <f>'Annex V 2021 RB XB'!F12</f>
        <v>0</v>
      </c>
      <c r="G11" s="270">
        <f t="shared" si="0"/>
        <v>0</v>
      </c>
      <c r="H11" s="61"/>
    </row>
    <row r="12" spans="1:8" s="28" customFormat="1" ht="20" customHeight="1" x14ac:dyDescent="0.3">
      <c r="A12" s="52">
        <v>1117</v>
      </c>
      <c r="B12" s="53" t="s">
        <v>66</v>
      </c>
      <c r="C12" s="267">
        <f>'Annex V 2021 RB XB'!C13</f>
        <v>21654</v>
      </c>
      <c r="D12" s="156">
        <f>'Annex V 2021 RB XB'!D13</f>
        <v>24060</v>
      </c>
      <c r="E12" s="153">
        <f>'Annex V 2021 RB XB'!E13+'Annex V 2021 RB XB'!G13+'Annex V 2021 RB XB'!H13+'Annex V 2021 RB XB'!I13</f>
        <v>24060</v>
      </c>
      <c r="F12" s="153">
        <f>'Annex V 2021 RB XB'!F13</f>
        <v>0</v>
      </c>
      <c r="G12" s="270">
        <f t="shared" si="0"/>
        <v>24060</v>
      </c>
      <c r="H12" s="61"/>
    </row>
    <row r="13" spans="1:8" ht="20" customHeight="1" x14ac:dyDescent="0.25">
      <c r="A13" s="52">
        <v>1300</v>
      </c>
      <c r="B13" s="53" t="s">
        <v>37</v>
      </c>
      <c r="C13" s="267">
        <f>'Annex V 2021 RB XB'!C14</f>
        <v>108000</v>
      </c>
      <c r="D13" s="156">
        <f>'Annex V 2021 RB XB'!D14</f>
        <v>108000</v>
      </c>
      <c r="E13" s="153">
        <f>'Annex V 2021 RB XB'!E14+'Annex V 2021 RB XB'!G14+'Annex V 2021 RB XB'!H14+'Annex V 2021 RB XB'!I14</f>
        <v>0</v>
      </c>
      <c r="F13" s="153">
        <f>'Annex V 2021 RB XB'!F14</f>
        <v>108000</v>
      </c>
      <c r="G13" s="270">
        <f t="shared" si="0"/>
        <v>108000</v>
      </c>
      <c r="H13" s="2"/>
    </row>
    <row r="14" spans="1:8" ht="22.5" customHeight="1" x14ac:dyDescent="0.25">
      <c r="A14" s="52">
        <v>1301</v>
      </c>
      <c r="B14" s="53" t="s">
        <v>6</v>
      </c>
      <c r="C14" s="267">
        <f>'Annex V 2021 RB XB'!C15</f>
        <v>846500</v>
      </c>
      <c r="D14" s="156">
        <f>'Annex V 2021 RB XB'!D15</f>
        <v>846500</v>
      </c>
      <c r="E14" s="153">
        <f>'Annex V 2021 RB XB'!E15+'Annex V 2021 RB XB'!G15+'Annex V 2021 RB XB'!H15+'Annex V 2021 RB XB'!I15</f>
        <v>730500</v>
      </c>
      <c r="F14" s="153">
        <f>'Annex V 2021 RB XB'!F15</f>
        <v>116000</v>
      </c>
      <c r="G14" s="270">
        <f t="shared" si="0"/>
        <v>846500</v>
      </c>
      <c r="H14" s="2"/>
    </row>
    <row r="15" spans="1:8" ht="20" customHeight="1" x14ac:dyDescent="0.25">
      <c r="A15" s="52">
        <v>1306</v>
      </c>
      <c r="B15" s="53" t="s">
        <v>31</v>
      </c>
      <c r="C15" s="267">
        <f>'Annex V 2021 RB XB'!C16</f>
        <v>12000</v>
      </c>
      <c r="D15" s="156">
        <f>'Annex V 2021 RB XB'!D16</f>
        <v>12000</v>
      </c>
      <c r="E15" s="153">
        <f>'Annex V 2021 RB XB'!E16+'Annex V 2021 RB XB'!G16+'Annex V 2021 RB XB'!H16+'Annex V 2021 RB XB'!I16</f>
        <v>12000</v>
      </c>
      <c r="F15" s="153">
        <f>'Annex V 2021 RB XB'!F16</f>
        <v>0</v>
      </c>
      <c r="G15" s="270">
        <f t="shared" si="0"/>
        <v>12000</v>
      </c>
      <c r="H15" s="2"/>
    </row>
    <row r="16" spans="1:8" ht="20" customHeight="1" x14ac:dyDescent="0.25">
      <c r="A16" s="52">
        <v>1307</v>
      </c>
      <c r="B16" s="53" t="s">
        <v>11</v>
      </c>
      <c r="C16" s="267">
        <f>'Annex V 2021 RB XB'!C17</f>
        <v>0</v>
      </c>
      <c r="D16" s="156">
        <f>'Annex V 2021 RB XB'!D17</f>
        <v>0</v>
      </c>
      <c r="E16" s="153">
        <f>'Annex V 2021 RB XB'!E17+'Annex V 2021 RB XB'!G17+'Annex V 2021 RB XB'!H17+'Annex V 2021 RB XB'!I17</f>
        <v>0</v>
      </c>
      <c r="F16" s="153">
        <f>'Annex V 2021 RB XB'!F17</f>
        <v>0</v>
      </c>
      <c r="G16" s="270">
        <f t="shared" si="0"/>
        <v>0</v>
      </c>
      <c r="H16" s="2"/>
    </row>
    <row r="17" spans="1:8" ht="20" customHeight="1" x14ac:dyDescent="0.25">
      <c r="A17" s="52">
        <v>1308</v>
      </c>
      <c r="B17" s="53" t="s">
        <v>12</v>
      </c>
      <c r="C17" s="267">
        <f>'Annex V 2021 RB XB'!C18</f>
        <v>10000</v>
      </c>
      <c r="D17" s="156">
        <f>'Annex V 2021 RB XB'!D18</f>
        <v>10000</v>
      </c>
      <c r="E17" s="153">
        <f>'Annex V 2021 RB XB'!E18+'Annex V 2021 RB XB'!G18+'Annex V 2021 RB XB'!H18+'Annex V 2021 RB XB'!I18</f>
        <v>0</v>
      </c>
      <c r="F17" s="153">
        <f>'Annex V 2021 RB XB'!F18</f>
        <v>10000</v>
      </c>
      <c r="G17" s="270">
        <f t="shared" si="0"/>
        <v>10000</v>
      </c>
      <c r="H17" s="2"/>
    </row>
    <row r="18" spans="1:8" ht="20" customHeight="1" x14ac:dyDescent="0.25">
      <c r="A18" s="52">
        <v>1360</v>
      </c>
      <c r="B18" s="53" t="s">
        <v>38</v>
      </c>
      <c r="C18" s="267">
        <f>'Annex V 2021 RB XB'!C19</f>
        <v>0</v>
      </c>
      <c r="D18" s="156">
        <f>'Annex V 2021 RB XB'!D19</f>
        <v>0</v>
      </c>
      <c r="E18" s="153">
        <f>'Annex V 2021 RB XB'!E19+'Annex V 2021 RB XB'!G19+'Annex V 2021 RB XB'!H19+'Annex V 2021 RB XB'!I19</f>
        <v>0</v>
      </c>
      <c r="F18" s="153">
        <f>'Annex V 2021 RB XB'!F19</f>
        <v>0</v>
      </c>
      <c r="G18" s="270">
        <f t="shared" si="0"/>
        <v>0</v>
      </c>
      <c r="H18" s="2"/>
    </row>
    <row r="19" spans="1:8" ht="20" customHeight="1" x14ac:dyDescent="0.25">
      <c r="A19" s="52">
        <v>1361</v>
      </c>
      <c r="B19" s="53" t="s">
        <v>39</v>
      </c>
      <c r="C19" s="267">
        <f>'Annex V 2021 RB XB'!C20</f>
        <v>0</v>
      </c>
      <c r="D19" s="156">
        <f>'Annex V 2021 RB XB'!D20</f>
        <v>0</v>
      </c>
      <c r="E19" s="153">
        <f>'Annex V 2021 RB XB'!E20+'Annex V 2021 RB XB'!G20+'Annex V 2021 RB XB'!H20+'Annex V 2021 RB XB'!I20</f>
        <v>0</v>
      </c>
      <c r="F19" s="153">
        <f>'Annex V 2021 RB XB'!F20</f>
        <v>0</v>
      </c>
      <c r="G19" s="270">
        <f t="shared" si="0"/>
        <v>0</v>
      </c>
      <c r="H19" s="2"/>
    </row>
    <row r="20" spans="1:8" ht="20" customHeight="1" x14ac:dyDescent="0.25">
      <c r="A20" s="52">
        <v>1363</v>
      </c>
      <c r="B20" s="53" t="s">
        <v>13</v>
      </c>
      <c r="C20" s="267">
        <f>'Annex V 2021 RB XB'!C21</f>
        <v>0</v>
      </c>
      <c r="D20" s="156">
        <f>'Annex V 2021 RB XB'!D21</f>
        <v>0</v>
      </c>
      <c r="E20" s="153">
        <f>'Annex V 2021 RB XB'!E21+'Annex V 2021 RB XB'!G21+'Annex V 2021 RB XB'!H21+'Annex V 2021 RB XB'!I21</f>
        <v>0</v>
      </c>
      <c r="F20" s="153">
        <f>'Annex V 2021 RB XB'!F21</f>
        <v>0</v>
      </c>
      <c r="G20" s="270">
        <f t="shared" si="0"/>
        <v>0</v>
      </c>
      <c r="H20" s="2"/>
    </row>
    <row r="21" spans="1:8" ht="20" customHeight="1" x14ac:dyDescent="0.25">
      <c r="A21" s="52">
        <v>1401</v>
      </c>
      <c r="B21" s="53" t="s">
        <v>19</v>
      </c>
      <c r="C21" s="267">
        <f>'Annex V 2021 RB XB'!C22</f>
        <v>18000</v>
      </c>
      <c r="D21" s="156">
        <f>'Annex V 2021 RB XB'!D22</f>
        <v>18000</v>
      </c>
      <c r="E21" s="153">
        <f>'Annex V 2021 RB XB'!E22+'Annex V 2021 RB XB'!G22+'Annex V 2021 RB XB'!H22+'Annex V 2021 RB XB'!I22</f>
        <v>18000</v>
      </c>
      <c r="F21" s="153">
        <f>'Annex V 2021 RB XB'!F22</f>
        <v>0</v>
      </c>
      <c r="G21" s="270">
        <f t="shared" si="0"/>
        <v>18000</v>
      </c>
      <c r="H21" s="2"/>
    </row>
    <row r="22" spans="1:8" ht="20" customHeight="1" x14ac:dyDescent="0.25">
      <c r="A22" s="52">
        <v>1402</v>
      </c>
      <c r="B22" s="53" t="s">
        <v>20</v>
      </c>
      <c r="C22" s="267">
        <f>'Annex V 2021 RB XB'!C23</f>
        <v>11000</v>
      </c>
      <c r="D22" s="156">
        <f>'Annex V 2021 RB XB'!D23</f>
        <v>11000</v>
      </c>
      <c r="E22" s="153">
        <f>'Annex V 2021 RB XB'!E23+'Annex V 2021 RB XB'!G23+'Annex V 2021 RB XB'!H23+'Annex V 2021 RB XB'!I23</f>
        <v>11000</v>
      </c>
      <c r="F22" s="153">
        <f>'Annex V 2021 RB XB'!F23</f>
        <v>0</v>
      </c>
      <c r="G22" s="270">
        <f t="shared" si="0"/>
        <v>11000</v>
      </c>
      <c r="H22" s="2"/>
    </row>
    <row r="23" spans="1:8" ht="20" customHeight="1" x14ac:dyDescent="0.25">
      <c r="A23" s="52">
        <v>1403</v>
      </c>
      <c r="B23" s="54" t="s">
        <v>21</v>
      </c>
      <c r="C23" s="267">
        <f>'Annex V 2021 RB XB'!C24</f>
        <v>31000</v>
      </c>
      <c r="D23" s="156">
        <f>'Annex V 2021 RB XB'!D24</f>
        <v>31000</v>
      </c>
      <c r="E23" s="153">
        <f>'Annex V 2021 RB XB'!E24+'Annex V 2021 RB XB'!G24+'Annex V 2021 RB XB'!H24+'Annex V 2021 RB XB'!I24</f>
        <v>31000</v>
      </c>
      <c r="F23" s="153">
        <f>'Annex V 2021 RB XB'!F24</f>
        <v>0</v>
      </c>
      <c r="G23" s="270">
        <f t="shared" si="0"/>
        <v>31000</v>
      </c>
      <c r="H23" s="2"/>
    </row>
    <row r="24" spans="1:8" ht="20" customHeight="1" x14ac:dyDescent="0.25">
      <c r="A24" s="52">
        <v>1404</v>
      </c>
      <c r="B24" s="53" t="s">
        <v>22</v>
      </c>
      <c r="C24" s="267">
        <f>'Annex V 2021 RB XB'!C25</f>
        <v>33000</v>
      </c>
      <c r="D24" s="156">
        <f>'Annex V 2021 RB XB'!D25</f>
        <v>33000</v>
      </c>
      <c r="E24" s="153">
        <f>'Annex V 2021 RB XB'!E25+'Annex V 2021 RB XB'!G25+'Annex V 2021 RB XB'!H25+'Annex V 2021 RB XB'!I25</f>
        <v>33000</v>
      </c>
      <c r="F24" s="153">
        <f>'Annex V 2021 RB XB'!F25</f>
        <v>0</v>
      </c>
      <c r="G24" s="270">
        <f t="shared" si="0"/>
        <v>33000</v>
      </c>
      <c r="H24" s="2"/>
    </row>
    <row r="25" spans="1:8" ht="20" customHeight="1" x14ac:dyDescent="0.25">
      <c r="A25" s="52">
        <v>1405</v>
      </c>
      <c r="B25" s="53" t="s">
        <v>23</v>
      </c>
      <c r="C25" s="267">
        <f>'Annex V 2021 RB XB'!C26</f>
        <v>6000</v>
      </c>
      <c r="D25" s="156">
        <f>'Annex V 2021 RB XB'!D26</f>
        <v>6000</v>
      </c>
      <c r="E25" s="153">
        <f>'Annex V 2021 RB XB'!E26+'Annex V 2021 RB XB'!G26+'Annex V 2021 RB XB'!H26+'Annex V 2021 RB XB'!I26</f>
        <v>6000</v>
      </c>
      <c r="F25" s="153">
        <f>'Annex V 2021 RB XB'!F26</f>
        <v>0</v>
      </c>
      <c r="G25" s="270">
        <f t="shared" si="0"/>
        <v>6000</v>
      </c>
      <c r="H25" s="2"/>
    </row>
    <row r="26" spans="1:8" ht="20" customHeight="1" x14ac:dyDescent="0.25">
      <c r="A26" s="52">
        <v>1501</v>
      </c>
      <c r="B26" s="53" t="s">
        <v>14</v>
      </c>
      <c r="C26" s="267">
        <f>'Annex V 2021 RB XB'!C27</f>
        <v>100000</v>
      </c>
      <c r="D26" s="156">
        <f>'Annex V 2021 RB XB'!D27</f>
        <v>50000</v>
      </c>
      <c r="E26" s="153">
        <f>'Annex V 2021 RB XB'!E27+'Annex V 2021 RB XB'!G27+'Annex V 2021 RB XB'!H27+'Annex V 2021 RB XB'!I27</f>
        <v>50000</v>
      </c>
      <c r="F26" s="153">
        <f>'Annex V 2021 RB XB'!F27</f>
        <v>0</v>
      </c>
      <c r="G26" s="270">
        <f t="shared" si="0"/>
        <v>50000</v>
      </c>
      <c r="H26" s="2"/>
    </row>
    <row r="27" spans="1:8" ht="20" customHeight="1" x14ac:dyDescent="0.25">
      <c r="A27" s="52">
        <v>1600</v>
      </c>
      <c r="B27" s="53" t="s">
        <v>15</v>
      </c>
      <c r="C27" s="267">
        <f>'Annex V 2021 RB XB'!C28</f>
        <v>0</v>
      </c>
      <c r="D27" s="156">
        <f>'Annex V 2021 RB XB'!D28</f>
        <v>0</v>
      </c>
      <c r="E27" s="153">
        <f>'Annex V 2021 RB XB'!E28+'Annex V 2021 RB XB'!G28+'Annex V 2021 RB XB'!H28+'Annex V 2021 RB XB'!I28</f>
        <v>0</v>
      </c>
      <c r="F27" s="153">
        <f>'Annex V 2021 RB XB'!F28</f>
        <v>0</v>
      </c>
      <c r="G27" s="270">
        <f t="shared" si="0"/>
        <v>0</v>
      </c>
      <c r="H27" s="2"/>
    </row>
    <row r="28" spans="1:8" ht="20" customHeight="1" x14ac:dyDescent="0.25">
      <c r="A28" s="52">
        <v>1601</v>
      </c>
      <c r="B28" s="53" t="s">
        <v>40</v>
      </c>
      <c r="C28" s="267">
        <f>'Annex V 2021 RB XB'!C29</f>
        <v>207232</v>
      </c>
      <c r="D28" s="156">
        <f>'Annex V 2021 RB XB'!D29</f>
        <v>207223</v>
      </c>
      <c r="E28" s="153">
        <f>'Annex V 2021 RB XB'!E29+'Annex V 2021 RB XB'!G29+'Annex V 2021 RB XB'!H29+'Annex V 2021 RB XB'!I29</f>
        <v>147223</v>
      </c>
      <c r="F28" s="153">
        <f>'Annex V 2021 RB XB'!F29</f>
        <v>60000</v>
      </c>
      <c r="G28" s="270">
        <f t="shared" si="0"/>
        <v>207223</v>
      </c>
      <c r="H28" s="2"/>
    </row>
    <row r="29" spans="1:8" ht="20" customHeight="1" x14ac:dyDescent="0.25">
      <c r="A29" s="52">
        <v>1602</v>
      </c>
      <c r="B29" s="53" t="s">
        <v>17</v>
      </c>
      <c r="C29" s="267">
        <f>'Annex V 2021 RB XB'!C30</f>
        <v>10000</v>
      </c>
      <c r="D29" s="156">
        <f>'Annex V 2021 RB XB'!D30</f>
        <v>10000</v>
      </c>
      <c r="E29" s="153">
        <f>'Annex V 2021 RB XB'!E30+'Annex V 2021 RB XB'!G30+'Annex V 2021 RB XB'!H30+'Annex V 2021 RB XB'!I30</f>
        <v>0</v>
      </c>
      <c r="F29" s="153">
        <f>'Annex V 2021 RB XB'!F30</f>
        <v>10000</v>
      </c>
      <c r="G29" s="270">
        <f t="shared" si="0"/>
        <v>10000</v>
      </c>
      <c r="H29" s="2"/>
    </row>
    <row r="30" spans="1:8" ht="20" customHeight="1" x14ac:dyDescent="0.25">
      <c r="A30" s="52">
        <v>2001</v>
      </c>
      <c r="B30" s="53" t="s">
        <v>32</v>
      </c>
      <c r="C30" s="267">
        <f>'Annex V 2021 RB XB'!C31</f>
        <v>0</v>
      </c>
      <c r="D30" s="156">
        <f>'Annex V 2021 RB XB'!D31</f>
        <v>0</v>
      </c>
      <c r="E30" s="153">
        <f>'Annex V 2021 RB XB'!E31+'Annex V 2021 RB XB'!G31+'Annex V 2021 RB XB'!H31+'Annex V 2021 RB XB'!I31</f>
        <v>0</v>
      </c>
      <c r="F30" s="153">
        <f>'Annex V 2021 RB XB'!F31</f>
        <v>0</v>
      </c>
      <c r="G30" s="270">
        <f t="shared" si="0"/>
        <v>0</v>
      </c>
      <c r="H30" s="2"/>
    </row>
    <row r="31" spans="1:8" ht="20" customHeight="1" x14ac:dyDescent="0.25">
      <c r="A31" s="52">
        <v>2020</v>
      </c>
      <c r="B31" s="53" t="s">
        <v>18</v>
      </c>
      <c r="C31" s="267">
        <f>'Annex V 2021 RB XB'!C32</f>
        <v>0</v>
      </c>
      <c r="D31" s="156">
        <f>'Annex V 2021 RB XB'!D32</f>
        <v>0</v>
      </c>
      <c r="E31" s="153">
        <f>'Annex V 2021 RB XB'!E32+'Annex V 2021 RB XB'!G32+'Annex V 2021 RB XB'!H32+'Annex V 2021 RB XB'!I32</f>
        <v>0</v>
      </c>
      <c r="F31" s="153">
        <f>'Annex V 2021 RB XB'!F32</f>
        <v>0</v>
      </c>
      <c r="G31" s="270">
        <f t="shared" si="0"/>
        <v>0</v>
      </c>
      <c r="H31" s="2"/>
    </row>
    <row r="32" spans="1:8" ht="20" customHeight="1" x14ac:dyDescent="0.25">
      <c r="A32" s="52">
        <v>2040</v>
      </c>
      <c r="B32" s="53" t="s">
        <v>41</v>
      </c>
      <c r="C32" s="267">
        <f>'Annex V 2021 RB XB'!C33</f>
        <v>0</v>
      </c>
      <c r="D32" s="156">
        <f>'Annex V 2021 RB XB'!D33</f>
        <v>0</v>
      </c>
      <c r="E32" s="153">
        <f>'Annex V 2021 RB XB'!E33+'Annex V 2021 RB XB'!G33+'Annex V 2021 RB XB'!H33+'Annex V 2021 RB XB'!I33</f>
        <v>0</v>
      </c>
      <c r="F32" s="153">
        <f>'Annex V 2021 RB XB'!F33</f>
        <v>0</v>
      </c>
      <c r="G32" s="270">
        <f t="shared" si="0"/>
        <v>0</v>
      </c>
      <c r="H32" s="2"/>
    </row>
    <row r="33" spans="1:8" ht="20" customHeight="1" x14ac:dyDescent="0.25">
      <c r="A33" s="52">
        <v>3100</v>
      </c>
      <c r="B33" s="53" t="s">
        <v>65</v>
      </c>
      <c r="C33" s="267">
        <f>'Annex V 2021 RB XB'!C34</f>
        <v>51500</v>
      </c>
      <c r="D33" s="156">
        <f>'Annex V 2021 RB XB'!D34</f>
        <v>25500</v>
      </c>
      <c r="E33" s="153">
        <f>'Annex V 2021 RB XB'!E34+'Annex V 2021 RB XB'!G34+'Annex V 2021 RB XB'!H34+'Annex V 2021 RB XB'!I34</f>
        <v>25500</v>
      </c>
      <c r="F33" s="153">
        <f>'Annex V 2021 RB XB'!F34</f>
        <v>0</v>
      </c>
      <c r="G33" s="270">
        <f t="shared" si="0"/>
        <v>25500</v>
      </c>
      <c r="H33" s="2"/>
    </row>
    <row r="34" spans="1:8" ht="20" customHeight="1" x14ac:dyDescent="0.25">
      <c r="A34" s="52">
        <v>3200</v>
      </c>
      <c r="B34" s="53" t="s">
        <v>7</v>
      </c>
      <c r="C34" s="267">
        <f>'Annex V 2021 RB XB'!C35</f>
        <v>60000</v>
      </c>
      <c r="D34" s="156">
        <f>'Annex V 2021 RB XB'!D35</f>
        <v>60000</v>
      </c>
      <c r="E34" s="153">
        <f>'Annex V 2021 RB XB'!E35+'Annex V 2021 RB XB'!G35+'Annex V 2021 RB XB'!H35+'Annex V 2021 RB XB'!I35</f>
        <v>60000</v>
      </c>
      <c r="F34" s="153">
        <f>'Annex V 2021 RB XB'!F35</f>
        <v>0</v>
      </c>
      <c r="G34" s="270">
        <f t="shared" si="0"/>
        <v>60000</v>
      </c>
    </row>
    <row r="35" spans="1:8" s="29" customFormat="1" ht="26.25" customHeight="1" x14ac:dyDescent="0.25">
      <c r="A35" s="52">
        <v>3201</v>
      </c>
      <c r="B35" s="62" t="s">
        <v>70</v>
      </c>
      <c r="C35" s="267">
        <f>'Annex V 2021 RB XB'!C36</f>
        <v>1751000</v>
      </c>
      <c r="D35" s="156">
        <f>'Annex V 2021 RB XB'!D36</f>
        <v>540000</v>
      </c>
      <c r="E35" s="153">
        <f>'Annex V 2021 RB XB'!E36+'Annex V 2021 RB XB'!G36+'Annex V 2021 RB XB'!H36+'Annex V 2021 RB XB'!I36</f>
        <v>396142.5</v>
      </c>
      <c r="F35" s="153">
        <f>'Annex V 2021 RB XB'!F36</f>
        <v>143857.5</v>
      </c>
      <c r="G35" s="270">
        <f t="shared" si="0"/>
        <v>540000</v>
      </c>
    </row>
    <row r="36" spans="1:8" ht="20" customHeight="1" x14ac:dyDescent="0.25">
      <c r="A36" s="52">
        <v>3205</v>
      </c>
      <c r="B36" s="53" t="s">
        <v>29</v>
      </c>
      <c r="C36" s="267">
        <f>'Annex V 2021 RB XB'!C37</f>
        <v>0</v>
      </c>
      <c r="D36" s="156">
        <f>'Annex V 2021 RB XB'!D37</f>
        <v>0</v>
      </c>
      <c r="E36" s="153">
        <f>'Annex V 2021 RB XB'!E37+'Annex V 2021 RB XB'!G37+'Annex V 2021 RB XB'!H37+'Annex V 2021 RB XB'!I37</f>
        <v>0</v>
      </c>
      <c r="F36" s="153">
        <f>'Annex V 2021 RB XB'!F37</f>
        <v>0</v>
      </c>
      <c r="G36" s="270">
        <f t="shared" si="0"/>
        <v>0</v>
      </c>
    </row>
    <row r="37" spans="1:8" ht="20" customHeight="1" x14ac:dyDescent="0.25">
      <c r="A37" s="52">
        <v>3206</v>
      </c>
      <c r="B37" s="53" t="s">
        <v>72</v>
      </c>
      <c r="C37" s="267">
        <f>'Annex V 2021 RB XB'!C38</f>
        <v>93600</v>
      </c>
      <c r="D37" s="156">
        <f>'Annex V 2021 RB XB'!D38</f>
        <v>39000</v>
      </c>
      <c r="E37" s="153">
        <f>'Annex V 2021 RB XB'!E38+'Annex V 2021 RB XB'!G38+'Annex V 2021 RB XB'!H38+'Annex V 2021 RB XB'!I38</f>
        <v>39000</v>
      </c>
      <c r="F37" s="153">
        <f>'Annex V 2021 RB XB'!F38</f>
        <v>0</v>
      </c>
      <c r="G37" s="270">
        <f t="shared" si="0"/>
        <v>39000</v>
      </c>
    </row>
    <row r="38" spans="1:8" ht="20" customHeight="1" x14ac:dyDescent="0.25">
      <c r="A38" s="52">
        <v>3211</v>
      </c>
      <c r="B38" s="53" t="s">
        <v>73</v>
      </c>
      <c r="C38" s="267">
        <f>'Annex V 2021 RB XB'!C39</f>
        <v>260000</v>
      </c>
      <c r="D38" s="156">
        <f>'Annex V 2021 RB XB'!D39</f>
        <v>260000</v>
      </c>
      <c r="E38" s="153">
        <f>'Annex V 2021 RB XB'!E39+'Annex V 2021 RB XB'!G39+'Annex V 2021 RB XB'!H39+'Annex V 2021 RB XB'!I39</f>
        <v>260000</v>
      </c>
      <c r="F38" s="153">
        <f>'Annex V 2021 RB XB'!F39</f>
        <v>0</v>
      </c>
      <c r="G38" s="270">
        <f t="shared" si="0"/>
        <v>260000</v>
      </c>
    </row>
    <row r="39" spans="1:8" ht="20" customHeight="1" x14ac:dyDescent="0.25">
      <c r="A39" s="52">
        <v>4001</v>
      </c>
      <c r="B39" s="53" t="s">
        <v>33</v>
      </c>
      <c r="C39" s="267">
        <f>'Annex V 2021 RB XB'!C40</f>
        <v>0</v>
      </c>
      <c r="D39" s="156">
        <f>'Annex V 2021 RB XB'!D40</f>
        <v>0</v>
      </c>
      <c r="E39" s="153">
        <f>'Annex V 2021 RB XB'!E40+'Annex V 2021 RB XB'!G40+'Annex V 2021 RB XB'!H40+'Annex V 2021 RB XB'!I40</f>
        <v>0</v>
      </c>
      <c r="F39" s="153">
        <f>'Annex V 2021 RB XB'!F40</f>
        <v>0</v>
      </c>
      <c r="G39" s="270">
        <f t="shared" si="0"/>
        <v>0</v>
      </c>
    </row>
    <row r="40" spans="1:8" ht="20" customHeight="1" x14ac:dyDescent="0.25">
      <c r="A40" s="52">
        <v>4002</v>
      </c>
      <c r="B40" s="53" t="s">
        <v>47</v>
      </c>
      <c r="C40" s="267">
        <f>'Annex V 2021 RB XB'!C41</f>
        <v>6000</v>
      </c>
      <c r="D40" s="156">
        <f>'Annex V 2021 RB XB'!D41</f>
        <v>6000</v>
      </c>
      <c r="E40" s="153">
        <f>'Annex V 2021 RB XB'!E41+'Annex V 2021 RB XB'!G41+'Annex V 2021 RB XB'!H41+'Annex V 2021 RB XB'!I41</f>
        <v>6000</v>
      </c>
      <c r="F40" s="153">
        <f>'Annex V 2021 RB XB'!F41</f>
        <v>0</v>
      </c>
      <c r="G40" s="270">
        <f t="shared" si="0"/>
        <v>6000</v>
      </c>
    </row>
    <row r="41" spans="1:8" ht="20" customHeight="1" x14ac:dyDescent="0.25">
      <c r="A41" s="52">
        <v>4003</v>
      </c>
      <c r="B41" s="53" t="s">
        <v>42</v>
      </c>
      <c r="C41" s="267">
        <f>'Annex V 2021 RB XB'!C42</f>
        <v>10000</v>
      </c>
      <c r="D41" s="156">
        <f>'Annex V 2021 RB XB'!D42</f>
        <v>20000</v>
      </c>
      <c r="E41" s="153">
        <f>'Annex V 2021 RB XB'!E42+'Annex V 2021 RB XB'!G42+'Annex V 2021 RB XB'!H42+'Annex V 2021 RB XB'!I42</f>
        <v>20000</v>
      </c>
      <c r="F41" s="153">
        <f>'Annex V 2021 RB XB'!F42</f>
        <v>0</v>
      </c>
      <c r="G41" s="270">
        <f t="shared" si="0"/>
        <v>20000</v>
      </c>
    </row>
    <row r="42" spans="1:8" ht="20" customHeight="1" x14ac:dyDescent="0.25">
      <c r="A42" s="52">
        <v>4004</v>
      </c>
      <c r="B42" s="53" t="s">
        <v>26</v>
      </c>
      <c r="C42" s="267">
        <f>'Annex V 2021 RB XB'!C43</f>
        <v>0</v>
      </c>
      <c r="D42" s="156">
        <f>'Annex V 2021 RB XB'!D43</f>
        <v>0</v>
      </c>
      <c r="E42" s="153">
        <f>'Annex V 2021 RB XB'!E43+'Annex V 2021 RB XB'!G43+'Annex V 2021 RB XB'!H43+'Annex V 2021 RB XB'!I43</f>
        <v>0</v>
      </c>
      <c r="F42" s="153">
        <f>'Annex V 2021 RB XB'!F43</f>
        <v>0</v>
      </c>
      <c r="G42" s="270">
        <f t="shared" si="0"/>
        <v>0</v>
      </c>
    </row>
    <row r="43" spans="1:8" ht="20" customHeight="1" x14ac:dyDescent="0.25">
      <c r="A43" s="52">
        <v>4030</v>
      </c>
      <c r="B43" s="53" t="s">
        <v>25</v>
      </c>
      <c r="C43" s="267">
        <f>'Annex V 2021 RB XB'!C44</f>
        <v>2000</v>
      </c>
      <c r="D43" s="156">
        <f>'Annex V 2021 RB XB'!D44</f>
        <v>2000</v>
      </c>
      <c r="E43" s="153">
        <f>'Annex V 2021 RB XB'!E44+'Annex V 2021 RB XB'!G44+'Annex V 2021 RB XB'!H44+'Annex V 2021 RB XB'!I44</f>
        <v>2000</v>
      </c>
      <c r="F43" s="153">
        <f>'Annex V 2021 RB XB'!F44</f>
        <v>0</v>
      </c>
      <c r="G43" s="270">
        <f t="shared" si="0"/>
        <v>2000</v>
      </c>
    </row>
    <row r="44" spans="1:8" ht="20" customHeight="1" x14ac:dyDescent="0.25">
      <c r="A44" s="52">
        <v>4035</v>
      </c>
      <c r="B44" s="53" t="s">
        <v>43</v>
      </c>
      <c r="C44" s="267">
        <f>'Annex V 2021 RB XB'!C45</f>
        <v>0</v>
      </c>
      <c r="D44" s="156">
        <f>'Annex V 2021 RB XB'!D45</f>
        <v>0</v>
      </c>
      <c r="E44" s="153">
        <f>'Annex V 2021 RB XB'!E45+'Annex V 2021 RB XB'!G45+'Annex V 2021 RB XB'!H45+'Annex V 2021 RB XB'!I45</f>
        <v>0</v>
      </c>
      <c r="F44" s="153">
        <f>'Annex V 2021 RB XB'!F45</f>
        <v>0</v>
      </c>
      <c r="G44" s="270">
        <f t="shared" si="0"/>
        <v>0</v>
      </c>
    </row>
    <row r="45" spans="1:8" ht="20" customHeight="1" x14ac:dyDescent="0.25">
      <c r="A45" s="52">
        <v>4100</v>
      </c>
      <c r="B45" s="53" t="s">
        <v>28</v>
      </c>
      <c r="C45" s="267">
        <f>'Annex V 2021 RB XB'!C46</f>
        <v>9000</v>
      </c>
      <c r="D45" s="156">
        <f>'Annex V 2021 RB XB'!D46</f>
        <v>9000</v>
      </c>
      <c r="E45" s="153">
        <f>'Annex V 2021 RB XB'!E46+'Annex V 2021 RB XB'!G46+'Annex V 2021 RB XB'!H46+'Annex V 2021 RB XB'!I46</f>
        <v>9000</v>
      </c>
      <c r="F45" s="153">
        <f>'Annex V 2021 RB XB'!F46</f>
        <v>0</v>
      </c>
      <c r="G45" s="270">
        <f t="shared" si="0"/>
        <v>9000</v>
      </c>
    </row>
    <row r="46" spans="1:8" ht="20" customHeight="1" x14ac:dyDescent="0.25">
      <c r="A46" s="52">
        <v>4200</v>
      </c>
      <c r="B46" s="53" t="s">
        <v>30</v>
      </c>
      <c r="C46" s="267">
        <f>'Annex V 2021 RB XB'!C47</f>
        <v>50000</v>
      </c>
      <c r="D46" s="156">
        <f>'Annex V 2021 RB XB'!D47</f>
        <v>30000</v>
      </c>
      <c r="E46" s="153">
        <f>'Annex V 2021 RB XB'!E47+'Annex V 2021 RB XB'!G47+'Annex V 2021 RB XB'!H47+'Annex V 2021 RB XB'!I47</f>
        <v>30000</v>
      </c>
      <c r="F46" s="153">
        <f>'Annex V 2021 RB XB'!F47</f>
        <v>0</v>
      </c>
      <c r="G46" s="270">
        <f t="shared" si="0"/>
        <v>30000</v>
      </c>
    </row>
    <row r="47" spans="1:8" ht="20" customHeight="1" x14ac:dyDescent="0.25">
      <c r="A47" s="52">
        <v>4300</v>
      </c>
      <c r="B47" s="53" t="s">
        <v>8</v>
      </c>
      <c r="C47" s="267">
        <f>'Annex V 2021 RB XB'!C48</f>
        <v>40000</v>
      </c>
      <c r="D47" s="156">
        <f>'Annex V 2021 RB XB'!D48</f>
        <v>30000</v>
      </c>
      <c r="E47" s="153">
        <f>'Annex V 2021 RB XB'!E48+'Annex V 2021 RB XB'!G48+'Annex V 2021 RB XB'!H48+'Annex V 2021 RB XB'!I48</f>
        <v>30000</v>
      </c>
      <c r="F47" s="153">
        <f>'Annex V 2021 RB XB'!F48</f>
        <v>0</v>
      </c>
      <c r="G47" s="270">
        <f t="shared" si="0"/>
        <v>30000</v>
      </c>
    </row>
    <row r="48" spans="1:8" ht="20" customHeight="1" x14ac:dyDescent="0.25">
      <c r="A48" s="55">
        <v>4400</v>
      </c>
      <c r="B48" s="53" t="s">
        <v>9</v>
      </c>
      <c r="C48" s="267">
        <f>'Annex V 2021 RB XB'!C49</f>
        <v>56000</v>
      </c>
      <c r="D48" s="156">
        <f>'Annex V 2021 RB XB'!D49</f>
        <v>56000</v>
      </c>
      <c r="E48" s="153">
        <f>'Annex V 2021 RB XB'!E49+'Annex V 2021 RB XB'!G49+'Annex V 2021 RB XB'!H49+'Annex V 2021 RB XB'!I49</f>
        <v>56000</v>
      </c>
      <c r="F48" s="153">
        <f>'Annex V 2021 RB XB'!F49</f>
        <v>0</v>
      </c>
      <c r="G48" s="270">
        <f t="shared" si="0"/>
        <v>56000</v>
      </c>
    </row>
    <row r="49" spans="1:7" ht="20" customHeight="1" x14ac:dyDescent="0.25">
      <c r="A49" s="55">
        <v>4410</v>
      </c>
      <c r="B49" s="53" t="s">
        <v>64</v>
      </c>
      <c r="C49" s="267">
        <f>'Annex V 2021 RB XB'!C50</f>
        <v>75000</v>
      </c>
      <c r="D49" s="156">
        <f>'Annex V 2021 RB XB'!D50</f>
        <v>45000</v>
      </c>
      <c r="E49" s="153">
        <f>'Annex V 2021 RB XB'!E50+'Annex V 2021 RB XB'!G50+'Annex V 2021 RB XB'!H50+'Annex V 2021 RB XB'!I50</f>
        <v>45000</v>
      </c>
      <c r="F49" s="153">
        <f>'Annex V 2021 RB XB'!F50</f>
        <v>0</v>
      </c>
      <c r="G49" s="270">
        <f t="shared" si="0"/>
        <v>45000</v>
      </c>
    </row>
    <row r="50" spans="1:7" ht="20" customHeight="1" x14ac:dyDescent="0.25">
      <c r="A50" s="55">
        <v>4500</v>
      </c>
      <c r="B50" s="53" t="s">
        <v>34</v>
      </c>
      <c r="C50" s="267">
        <f>'Annex V 2021 RB XB'!C51</f>
        <v>5000</v>
      </c>
      <c r="D50" s="156">
        <f>'Annex V 2021 RB XB'!D51</f>
        <v>5000</v>
      </c>
      <c r="E50" s="153">
        <f>'Annex V 2021 RB XB'!E51+'Annex V 2021 RB XB'!G51+'Annex V 2021 RB XB'!H51+'Annex V 2021 RB XB'!I51</f>
        <v>5000</v>
      </c>
      <c r="F50" s="153">
        <f>'Annex V 2021 RB XB'!F51</f>
        <v>0</v>
      </c>
      <c r="G50" s="270">
        <f t="shared" si="0"/>
        <v>5000</v>
      </c>
    </row>
    <row r="51" spans="1:7" ht="20" customHeight="1" x14ac:dyDescent="0.25">
      <c r="A51" s="55">
        <v>4600</v>
      </c>
      <c r="B51" s="53" t="s">
        <v>10</v>
      </c>
      <c r="C51" s="267">
        <f>'Annex V 2021 RB XB'!C52</f>
        <v>0</v>
      </c>
      <c r="D51" s="156">
        <f>'Annex V 2021 RB XB'!D52</f>
        <v>0</v>
      </c>
      <c r="E51" s="153">
        <f>'Annex V 2021 RB XB'!E52+'Annex V 2021 RB XB'!G52+'Annex V 2021 RB XB'!H52+'Annex V 2021 RB XB'!I52</f>
        <v>0</v>
      </c>
      <c r="F51" s="153">
        <f>'Annex V 2021 RB XB'!F52</f>
        <v>0</v>
      </c>
      <c r="G51" s="270">
        <f t="shared" si="0"/>
        <v>0</v>
      </c>
    </row>
    <row r="52" spans="1:7" ht="20" customHeight="1" x14ac:dyDescent="0.25">
      <c r="A52" s="55">
        <v>5010</v>
      </c>
      <c r="B52" s="53" t="s">
        <v>24</v>
      </c>
      <c r="C52" s="267">
        <f>'Annex V 2021 RB XB'!C53</f>
        <v>0</v>
      </c>
      <c r="D52" s="156">
        <f>'Annex V 2021 RB XB'!D53</f>
        <v>10000</v>
      </c>
      <c r="E52" s="153">
        <f>'Annex V 2021 RB XB'!E53+'Annex V 2021 RB XB'!G53+'Annex V 2021 RB XB'!H53+'Annex V 2021 RB XB'!I53</f>
        <v>10000</v>
      </c>
      <c r="F52" s="153">
        <f>'Annex V 2021 RB XB'!F53</f>
        <v>0</v>
      </c>
      <c r="G52" s="270">
        <f t="shared" si="0"/>
        <v>10000</v>
      </c>
    </row>
    <row r="53" spans="1:7" ht="20" customHeight="1" x14ac:dyDescent="0.25">
      <c r="A53" s="55">
        <v>5040</v>
      </c>
      <c r="B53" s="53" t="s">
        <v>263</v>
      </c>
      <c r="C53" s="267">
        <f>'Annex V 2021 RB XB'!C54</f>
        <v>470000</v>
      </c>
      <c r="D53" s="156">
        <f>'Annex V 2021 RB XB'!D54</f>
        <v>630000</v>
      </c>
      <c r="E53" s="153">
        <f>'Annex V 2021 RB XB'!E54+'Annex V 2021 RB XB'!G54+'Annex V 2021 RB XB'!H54+'Annex V 2021 RB XB'!I54</f>
        <v>630000</v>
      </c>
      <c r="F53" s="153">
        <f>'Annex V 2021 RB XB'!F54</f>
        <v>0</v>
      </c>
      <c r="G53" s="270">
        <f t="shared" si="0"/>
        <v>630000</v>
      </c>
    </row>
    <row r="54" spans="1:7" s="29" customFormat="1" ht="20" customHeight="1" x14ac:dyDescent="0.25">
      <c r="A54" s="55">
        <v>5200</v>
      </c>
      <c r="B54" s="53" t="s">
        <v>44</v>
      </c>
      <c r="C54" s="267">
        <f>'Annex V 2021 RB XB'!C55</f>
        <v>20000</v>
      </c>
      <c r="D54" s="156">
        <f>'Annex V 2021 RB XB'!D55</f>
        <v>25500</v>
      </c>
      <c r="E54" s="153">
        <f>'Annex V 2021 RB XB'!E55+'Annex V 2021 RB XB'!G55+'Annex V 2021 RB XB'!H55+'Annex V 2021 RB XB'!I55</f>
        <v>25500</v>
      </c>
      <c r="F54" s="153">
        <f>'Annex V 2021 RB XB'!F55</f>
        <v>0</v>
      </c>
      <c r="G54" s="270">
        <f t="shared" si="0"/>
        <v>25500</v>
      </c>
    </row>
    <row r="55" spans="1:7" ht="20" customHeight="1" x14ac:dyDescent="0.25">
      <c r="A55" s="55">
        <v>5300</v>
      </c>
      <c r="B55" s="53" t="s">
        <v>27</v>
      </c>
      <c r="C55" s="267">
        <f>'Annex V 2021 RB XB'!C56</f>
        <v>5000</v>
      </c>
      <c r="D55" s="156">
        <f>'Annex V 2021 RB XB'!D56</f>
        <v>5000</v>
      </c>
      <c r="E55" s="153">
        <f>'Annex V 2021 RB XB'!E56+'Annex V 2021 RB XB'!G56+'Annex V 2021 RB XB'!H56+'Annex V 2021 RB XB'!I56</f>
        <v>5000</v>
      </c>
      <c r="F55" s="153">
        <f>'Annex V 2021 RB XB'!F56</f>
        <v>0</v>
      </c>
      <c r="G55" s="270">
        <f t="shared" si="0"/>
        <v>5000</v>
      </c>
    </row>
    <row r="56" spans="1:7" ht="20" customHeight="1" x14ac:dyDescent="0.25">
      <c r="A56" s="56">
        <v>5400</v>
      </c>
      <c r="B56" s="57" t="s">
        <v>45</v>
      </c>
      <c r="C56" s="267">
        <f>'Annex V 2021 RB XB'!C57</f>
        <v>35000</v>
      </c>
      <c r="D56" s="156">
        <f>'Annex V 2021 RB XB'!D57</f>
        <v>35000</v>
      </c>
      <c r="E56" s="154">
        <f>'Annex V 2021 RB XB'!E57+'Annex V 2021 RB XB'!G57+'Annex V 2021 RB XB'!H57+'Annex V 2021 RB XB'!I57</f>
        <v>35000</v>
      </c>
      <c r="F56" s="154">
        <f>'Annex V 2021 RB XB'!F58</f>
        <v>0</v>
      </c>
      <c r="G56" s="270">
        <f t="shared" si="0"/>
        <v>35000</v>
      </c>
    </row>
    <row r="57" spans="1:7" ht="20" customHeight="1" thickBot="1" x14ac:dyDescent="0.3">
      <c r="A57" s="58"/>
      <c r="B57" s="59" t="s">
        <v>46</v>
      </c>
      <c r="C57" s="268">
        <f t="shared" ref="C57:G57" si="1">SUM(C6:C56)</f>
        <v>5649703</v>
      </c>
      <c r="D57" s="64">
        <f t="shared" si="1"/>
        <v>4415000</v>
      </c>
      <c r="E57" s="152">
        <f t="shared" si="1"/>
        <v>3115000.5</v>
      </c>
      <c r="F57" s="152">
        <f>SUM(F6:F56)</f>
        <v>1299999.5</v>
      </c>
      <c r="G57" s="223">
        <f t="shared" si="1"/>
        <v>4415000</v>
      </c>
    </row>
    <row r="58" spans="1:7" x14ac:dyDescent="0.25">
      <c r="D58" s="49"/>
      <c r="E58" s="49"/>
    </row>
    <row r="59" spans="1:7" x14ac:dyDescent="0.25">
      <c r="D59" s="49"/>
    </row>
  </sheetData>
  <mergeCells count="6">
    <mergeCell ref="E3:E5"/>
    <mergeCell ref="F3:F5"/>
    <mergeCell ref="A2:G2"/>
    <mergeCell ref="A3:A5"/>
    <mergeCell ref="B3:B5"/>
    <mergeCell ref="C3:C5"/>
  </mergeCells>
  <printOptions horizontalCentered="1" verticalCentered="1"/>
  <pageMargins left="0.35433070866141736" right="0.23622047244094491" top="0.23622047244094491" bottom="0" header="0.31496062992125984" footer="0.31496062992125984"/>
  <pageSetup scale="6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F33"/>
  <sheetViews>
    <sheetView view="pageBreakPreview" zoomScale="80" zoomScaleSheetLayoutView="80" workbookViewId="0">
      <selection activeCell="C13" sqref="C13"/>
    </sheetView>
  </sheetViews>
  <sheetFormatPr defaultColWidth="11.453125" defaultRowHeight="12.5" x14ac:dyDescent="0.25"/>
  <cols>
    <col min="1" max="1" width="8.453125" style="48" customWidth="1"/>
    <col min="2" max="2" width="72.453125" style="48" customWidth="1"/>
    <col min="3" max="3" width="35.6328125" style="48" bestFit="1" customWidth="1"/>
    <col min="4" max="4" width="19.453125" style="48" customWidth="1"/>
    <col min="5" max="5" width="11.453125" style="48" customWidth="1"/>
    <col min="6" max="16384" width="11.453125" style="48"/>
  </cols>
  <sheetData>
    <row r="1" spans="2:6" ht="15.5" x14ac:dyDescent="0.25">
      <c r="B1" s="300" t="s">
        <v>60</v>
      </c>
      <c r="C1" s="300"/>
      <c r="D1" s="300"/>
    </row>
    <row r="2" spans="2:6" ht="15.5" x14ac:dyDescent="0.25">
      <c r="B2" s="300">
        <v>2020</v>
      </c>
      <c r="C2" s="300"/>
      <c r="D2" s="300"/>
      <c r="E2" s="65"/>
    </row>
    <row r="3" spans="2:6" ht="15.5" x14ac:dyDescent="0.25">
      <c r="B3" s="66"/>
      <c r="C3" s="66"/>
      <c r="D3" s="66"/>
    </row>
    <row r="4" spans="2:6" ht="31" x14ac:dyDescent="0.25">
      <c r="B4" s="189" t="s">
        <v>156</v>
      </c>
      <c r="C4" s="27" t="s">
        <v>148</v>
      </c>
      <c r="D4" s="5" t="s">
        <v>160</v>
      </c>
      <c r="E4" s="8"/>
    </row>
    <row r="5" spans="2:6" s="67" customFormat="1" ht="24" customHeight="1" x14ac:dyDescent="0.25">
      <c r="B5" s="159" t="s">
        <v>59</v>
      </c>
      <c r="C5" s="26"/>
      <c r="D5" s="26"/>
      <c r="E5" s="25"/>
    </row>
    <row r="6" spans="2:6" ht="24.75" customHeight="1" x14ac:dyDescent="0.25">
      <c r="B6" s="23" t="s">
        <v>139</v>
      </c>
      <c r="C6" s="164" t="s">
        <v>296</v>
      </c>
      <c r="D6" s="22">
        <f>'PPB Breakdwn'!O19</f>
        <v>15000</v>
      </c>
      <c r="E6" s="8"/>
    </row>
    <row r="7" spans="2:6" ht="25" customHeight="1" x14ac:dyDescent="0.25">
      <c r="B7" s="23" t="s">
        <v>74</v>
      </c>
      <c r="C7" s="164" t="s">
        <v>260</v>
      </c>
      <c r="D7" s="22">
        <f>'PPB Breakdwn'!O42+'PPB Breakdwn'!O43</f>
        <v>39000</v>
      </c>
    </row>
    <row r="8" spans="2:6" ht="25" customHeight="1" x14ac:dyDescent="0.25">
      <c r="B8" s="69" t="s">
        <v>157</v>
      </c>
      <c r="C8" s="164" t="s">
        <v>294</v>
      </c>
      <c r="D8" s="22">
        <f>'PPB Breakdwn'!O54+'PPB Breakdwn'!O35+'PPB Breakdwn'!O36+'PPB Breakdwn'!O37</f>
        <v>25500</v>
      </c>
    </row>
    <row r="9" spans="2:6" ht="24.75" customHeight="1" x14ac:dyDescent="0.25">
      <c r="B9" s="160" t="s">
        <v>58</v>
      </c>
      <c r="C9" s="69"/>
      <c r="D9" s="70"/>
    </row>
    <row r="10" spans="2:6" ht="24.75" customHeight="1" x14ac:dyDescent="0.25">
      <c r="B10" s="69" t="s">
        <v>147</v>
      </c>
      <c r="C10" s="164" t="s">
        <v>261</v>
      </c>
      <c r="D10" s="70">
        <f>'PPB Breakdwn'!O50</f>
        <v>260000</v>
      </c>
      <c r="F10" s="68"/>
    </row>
    <row r="11" spans="2:6" ht="35.25" customHeight="1" x14ac:dyDescent="0.25">
      <c r="B11" s="69" t="s">
        <v>143</v>
      </c>
      <c r="C11" s="166" t="s">
        <v>293</v>
      </c>
      <c r="D11" s="70">
        <f>'PPB Breakdwn'!O46+'PPB Breakdwn'!O47+'PPB Breakdwn'!O51+'PPB Breakdwn'!O48</f>
        <v>564000</v>
      </c>
      <c r="F11" s="68"/>
    </row>
    <row r="12" spans="2:6" ht="25" customHeight="1" x14ac:dyDescent="0.25">
      <c r="B12" s="69" t="s">
        <v>140</v>
      </c>
      <c r="C12" s="164" t="s">
        <v>295</v>
      </c>
      <c r="D12" s="70">
        <f>'PPB Breakdwn'!O49+'PPB Breakdwn'!O20</f>
        <v>630000</v>
      </c>
      <c r="F12" s="68"/>
    </row>
    <row r="13" spans="2:6" ht="25" customHeight="1" x14ac:dyDescent="0.25">
      <c r="B13" s="69" t="s">
        <v>144</v>
      </c>
      <c r="C13" s="164" t="s">
        <v>54</v>
      </c>
      <c r="D13" s="70">
        <f>'PPB Breakdwn'!O25</f>
        <v>24060</v>
      </c>
      <c r="F13" s="68"/>
    </row>
    <row r="14" spans="2:6" ht="25" customHeight="1" x14ac:dyDescent="0.25">
      <c r="B14" s="69" t="s">
        <v>145</v>
      </c>
      <c r="C14" s="164" t="s">
        <v>297</v>
      </c>
      <c r="D14" s="70">
        <f>'PPB Breakdwn'!O31</f>
        <v>0</v>
      </c>
      <c r="F14" s="68"/>
    </row>
    <row r="15" spans="2:6" ht="25" customHeight="1" x14ac:dyDescent="0.25">
      <c r="B15" s="69" t="s">
        <v>146</v>
      </c>
      <c r="C15" s="164" t="s">
        <v>54</v>
      </c>
      <c r="D15" s="70">
        <f>'Annex V 2021 RB XB'!I57</f>
        <v>0</v>
      </c>
      <c r="F15" s="68"/>
    </row>
    <row r="16" spans="2:6" ht="25" customHeight="1" x14ac:dyDescent="0.25">
      <c r="B16" s="160" t="s">
        <v>57</v>
      </c>
      <c r="C16" s="69"/>
      <c r="D16" s="70"/>
    </row>
    <row r="17" spans="2:4" ht="25" customHeight="1" x14ac:dyDescent="0.25">
      <c r="B17" s="69" t="s">
        <v>141</v>
      </c>
      <c r="C17" s="164" t="s">
        <v>54</v>
      </c>
      <c r="D17" s="70">
        <f>'Annex V 2021 RB XB'!D49</f>
        <v>56000</v>
      </c>
    </row>
    <row r="18" spans="2:4" ht="25" customHeight="1" x14ac:dyDescent="0.25">
      <c r="B18" s="71" t="s">
        <v>56</v>
      </c>
      <c r="C18" s="164" t="s">
        <v>54</v>
      </c>
      <c r="D18" s="70">
        <f>'Annex V 2021 RB XB'!D50+'PPB Breakdwn'!O59</f>
        <v>80000</v>
      </c>
    </row>
    <row r="19" spans="2:4" ht="25" customHeight="1" x14ac:dyDescent="0.25">
      <c r="B19" s="72" t="s">
        <v>75</v>
      </c>
      <c r="C19" s="73"/>
      <c r="D19" s="74">
        <f>SUM(D5:D18)</f>
        <v>1693560</v>
      </c>
    </row>
    <row r="20" spans="2:4" ht="25" customHeight="1" x14ac:dyDescent="0.25">
      <c r="B20" s="161" t="s">
        <v>76</v>
      </c>
      <c r="C20" s="23"/>
      <c r="D20" s="22"/>
    </row>
    <row r="21" spans="2:4" ht="31.5" customHeight="1" x14ac:dyDescent="0.25">
      <c r="B21" s="75" t="s">
        <v>292</v>
      </c>
      <c r="C21" s="164" t="s">
        <v>149</v>
      </c>
      <c r="D21" s="22">
        <f>'Annex V 2021 RB XB'!H47+'Annex V 2021 RB XB'!H48</f>
        <v>0</v>
      </c>
    </row>
    <row r="22" spans="2:4" ht="25" customHeight="1" x14ac:dyDescent="0.25">
      <c r="B22" s="24" t="s">
        <v>55</v>
      </c>
      <c r="C22" s="164" t="s">
        <v>149</v>
      </c>
      <c r="D22" s="22">
        <f>SUM('Annex V 2021 RB XB'!H15,'Annex V 2021 RB XB'!H16,'Annex V 2021 RB XB'!H20,'Annex V 2021 RB XB'!H22,'Annex V 2021 RB XB'!H23,'Annex V 2021 RB XB'!H24,'Annex V 2021 RB XB'!H25,'Annex V 2021 RB XB'!H26,'Annex V 2021 RB XB'!H27,'Annex V 2021 RB XB'!H35,'Annex V 2021 RB XB'!H41,'Annex V 2021 RB XB'!H42,'Annex V 2021 RB XB'!H44,'Annex V 2021 RB XB'!H46,'Annex V 2021 RB XB'!H51,'Annex V 2021 RB XB'!H53,'Annex V 2021 RB XB'!H56,'Annex V 2021 RB XB'!H58)</f>
        <v>60000</v>
      </c>
    </row>
    <row r="23" spans="2:4" ht="25" customHeight="1" x14ac:dyDescent="0.25">
      <c r="B23" s="162" t="s">
        <v>142</v>
      </c>
      <c r="C23" s="164" t="s">
        <v>149</v>
      </c>
      <c r="D23" s="22">
        <f>'PPB Breakdwn'!O6+'PPB Breakdwn'!O7+'PPB Breakdwn'!O8+'PPB Breakdwn'!O11+'PPB Breakdwn'!O12+'PPB Breakdwn'!O13+'PPB Breakdwn'!O14+'PPB Breakdwn'!O16</f>
        <v>147232</v>
      </c>
    </row>
    <row r="24" spans="2:4" ht="25" customHeight="1" x14ac:dyDescent="0.25">
      <c r="B24" s="72" t="s">
        <v>75</v>
      </c>
      <c r="C24" s="73"/>
      <c r="D24" s="74">
        <f>SUM(D21:D23)</f>
        <v>207232</v>
      </c>
    </row>
    <row r="25" spans="2:4" ht="25" customHeight="1" x14ac:dyDescent="0.25">
      <c r="B25" s="303"/>
      <c r="C25" s="304"/>
      <c r="D25" s="305"/>
    </row>
    <row r="26" spans="2:4" ht="25" customHeight="1" x14ac:dyDescent="0.25">
      <c r="B26" s="301" t="s">
        <v>53</v>
      </c>
      <c r="C26" s="302"/>
      <c r="D26" s="163">
        <f>D19+D24</f>
        <v>1900792</v>
      </c>
    </row>
    <row r="27" spans="2:4" ht="16.5" customHeight="1" x14ac:dyDescent="0.25">
      <c r="B27" s="21"/>
    </row>
    <row r="28" spans="2:4" ht="16.5" customHeight="1" x14ac:dyDescent="0.25">
      <c r="D28" s="68"/>
    </row>
    <row r="29" spans="2:4" ht="19.5" customHeight="1" x14ac:dyDescent="0.25">
      <c r="D29" s="68"/>
    </row>
    <row r="31" spans="2:4" x14ac:dyDescent="0.25">
      <c r="D31" s="68">
        <f>SUM('Annex V 2021 RB XB'!H59:I59)</f>
        <v>1585717.5</v>
      </c>
    </row>
    <row r="33" spans="4:4" x14ac:dyDescent="0.25">
      <c r="D33" s="68">
        <f>D26-D31</f>
        <v>315074.5</v>
      </c>
    </row>
  </sheetData>
  <mergeCells count="4">
    <mergeCell ref="B1:D1"/>
    <mergeCell ref="B2:D2"/>
    <mergeCell ref="B26:C26"/>
    <mergeCell ref="B25:D25"/>
  </mergeCells>
  <printOptions horizontalCentered="1" verticalCentered="1"/>
  <pageMargins left="0.59055118110236227" right="0.59055118110236227" top="0.59055118110236227" bottom="0.59055118110236227" header="0.31496062992125984" footer="0.31496062992125984"/>
  <pageSetup paperSize="9" scale="74" orientation="landscape"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O69"/>
  <sheetViews>
    <sheetView tabSelected="1" view="pageBreakPreview" topLeftCell="D3" zoomScaleSheetLayoutView="100" workbookViewId="0">
      <selection activeCell="K16" sqref="K16"/>
    </sheetView>
  </sheetViews>
  <sheetFormatPr defaultColWidth="11.453125" defaultRowHeight="12.5" x14ac:dyDescent="0.25"/>
  <cols>
    <col min="1" max="1" width="7.453125" customWidth="1"/>
    <col min="2" max="2" width="35.453125" customWidth="1"/>
    <col min="3" max="3" width="14.7265625" customWidth="1"/>
    <col min="4" max="4" width="14.36328125" customWidth="1"/>
    <col min="5" max="5" width="20.6328125" customWidth="1"/>
    <col min="6" max="6" width="17.453125" bestFit="1" customWidth="1"/>
    <col min="7" max="7" width="14.81640625" customWidth="1"/>
    <col min="8" max="8" width="15.90625" customWidth="1"/>
    <col min="9" max="9" width="16" customWidth="1"/>
    <col min="10" max="10" width="31.81640625" customWidth="1"/>
    <col min="11" max="11" width="28.6328125" customWidth="1"/>
    <col min="13" max="13" width="13.36328125" customWidth="1"/>
  </cols>
  <sheetData>
    <row r="2" spans="1:14" ht="22.5" x14ac:dyDescent="0.45">
      <c r="A2" s="306" t="s">
        <v>317</v>
      </c>
      <c r="B2" s="306"/>
      <c r="C2" s="306"/>
      <c r="D2" s="306"/>
      <c r="E2" s="306"/>
      <c r="F2" s="306"/>
      <c r="G2" s="306"/>
      <c r="H2" s="306"/>
      <c r="I2" s="306"/>
    </row>
    <row r="3" spans="1:14" ht="13" thickBot="1" x14ac:dyDescent="0.3"/>
    <row r="4" spans="1:14" ht="14" x14ac:dyDescent="0.25">
      <c r="A4" s="30" t="s">
        <v>2</v>
      </c>
      <c r="B4" s="31" t="s">
        <v>0</v>
      </c>
      <c r="C4" s="31">
        <v>2020</v>
      </c>
      <c r="D4" s="31">
        <v>2021</v>
      </c>
      <c r="E4" s="31">
        <v>2021</v>
      </c>
      <c r="F4" s="31">
        <v>2021</v>
      </c>
      <c r="G4" s="31">
        <v>2021</v>
      </c>
      <c r="H4" s="31">
        <v>2021</v>
      </c>
      <c r="I4" s="31">
        <v>2021</v>
      </c>
    </row>
    <row r="5" spans="1:14" ht="14" x14ac:dyDescent="0.25">
      <c r="A5" s="33" t="s">
        <v>3</v>
      </c>
      <c r="B5" s="34"/>
      <c r="C5" s="32" t="s">
        <v>48</v>
      </c>
      <c r="D5" s="32" t="s">
        <v>48</v>
      </c>
      <c r="E5" s="307" t="s">
        <v>307</v>
      </c>
      <c r="F5" s="35" t="s">
        <v>61</v>
      </c>
      <c r="G5" s="35" t="s">
        <v>62</v>
      </c>
      <c r="H5" s="35" t="s">
        <v>62</v>
      </c>
      <c r="I5" s="35" t="s">
        <v>302</v>
      </c>
    </row>
    <row r="6" spans="1:14" ht="29" customHeight="1" thickBot="1" x14ac:dyDescent="0.3">
      <c r="A6" s="36"/>
      <c r="B6" s="34"/>
      <c r="C6" s="37" t="s">
        <v>63</v>
      </c>
      <c r="D6" s="37" t="s">
        <v>63</v>
      </c>
      <c r="E6" s="308"/>
      <c r="F6" s="37" t="s">
        <v>89</v>
      </c>
      <c r="G6" s="37" t="s">
        <v>300</v>
      </c>
      <c r="H6" s="37" t="s">
        <v>301</v>
      </c>
      <c r="I6" s="37" t="s">
        <v>303</v>
      </c>
    </row>
    <row r="7" spans="1:14" x14ac:dyDescent="0.25">
      <c r="A7" s="50">
        <v>1100</v>
      </c>
      <c r="B7" s="51" t="s">
        <v>4</v>
      </c>
      <c r="C7" s="240">
        <v>1036217</v>
      </c>
      <c r="D7" s="116">
        <f>SUM(E7:I7)</f>
        <v>1036217</v>
      </c>
      <c r="E7" s="236"/>
      <c r="F7" s="246">
        <f>Workings!F41+28742</f>
        <v>772142</v>
      </c>
      <c r="G7" s="235"/>
      <c r="H7" s="249">
        <f>264075</f>
        <v>264075</v>
      </c>
      <c r="I7" s="242"/>
      <c r="J7" s="109" t="s">
        <v>91</v>
      </c>
      <c r="N7" s="49"/>
    </row>
    <row r="8" spans="1:14" x14ac:dyDescent="0.25">
      <c r="A8" s="52">
        <v>1102</v>
      </c>
      <c r="B8" s="53" t="s">
        <v>69</v>
      </c>
      <c r="C8" s="234">
        <v>40000</v>
      </c>
      <c r="D8" s="234">
        <f t="shared" ref="D8:D58" si="0">SUM(E8:I8)</f>
        <v>40000</v>
      </c>
      <c r="E8" s="238"/>
      <c r="F8" s="247">
        <f>Workings!C51</f>
        <v>40000</v>
      </c>
      <c r="G8" s="237"/>
      <c r="H8" s="250"/>
      <c r="I8" s="239"/>
      <c r="J8" s="109" t="s">
        <v>333</v>
      </c>
      <c r="N8" s="49"/>
    </row>
    <row r="9" spans="1:14" x14ac:dyDescent="0.25">
      <c r="A9" s="52">
        <v>1112</v>
      </c>
      <c r="B9" s="53" t="s">
        <v>5</v>
      </c>
      <c r="C9" s="234">
        <v>40000</v>
      </c>
      <c r="D9" s="234">
        <f t="shared" si="0"/>
        <v>40000</v>
      </c>
      <c r="E9" s="238"/>
      <c r="F9" s="247">
        <f>40000</f>
        <v>40000</v>
      </c>
      <c r="G9" s="237"/>
      <c r="H9" s="250"/>
      <c r="I9" s="239"/>
      <c r="J9" s="109" t="s">
        <v>112</v>
      </c>
      <c r="L9" s="49"/>
    </row>
    <row r="10" spans="1:14" x14ac:dyDescent="0.25">
      <c r="A10" s="52">
        <v>1113</v>
      </c>
      <c r="B10" s="53" t="s">
        <v>16</v>
      </c>
      <c r="C10" s="234">
        <v>0</v>
      </c>
      <c r="D10" s="234">
        <f t="shared" si="0"/>
        <v>80000</v>
      </c>
      <c r="E10" s="238"/>
      <c r="F10" s="247"/>
      <c r="G10" s="237"/>
      <c r="H10" s="251"/>
      <c r="I10" s="239">
        <f>50000+30000</f>
        <v>80000</v>
      </c>
      <c r="J10" s="110"/>
      <c r="K10" s="49"/>
    </row>
    <row r="11" spans="1:14" x14ac:dyDescent="0.25">
      <c r="A11" s="52">
        <v>1115</v>
      </c>
      <c r="B11" s="53" t="s">
        <v>35</v>
      </c>
      <c r="C11" s="234">
        <v>120000</v>
      </c>
      <c r="D11" s="234">
        <f t="shared" si="0"/>
        <v>19000</v>
      </c>
      <c r="E11" s="238"/>
      <c r="F11" s="247"/>
      <c r="G11" s="237"/>
      <c r="H11" s="250"/>
      <c r="I11" s="239">
        <f>19000</f>
        <v>19000</v>
      </c>
      <c r="J11" s="110"/>
      <c r="K11" s="49"/>
    </row>
    <row r="12" spans="1:14" x14ac:dyDescent="0.25">
      <c r="A12" s="52">
        <v>1116</v>
      </c>
      <c r="B12" s="53" t="s">
        <v>36</v>
      </c>
      <c r="C12" s="234">
        <v>0</v>
      </c>
      <c r="D12" s="234">
        <f t="shared" si="0"/>
        <v>0</v>
      </c>
      <c r="E12" s="238"/>
      <c r="F12" s="247"/>
      <c r="G12" s="237"/>
      <c r="H12" s="251"/>
      <c r="I12" s="243"/>
      <c r="J12" s="110"/>
      <c r="K12" s="49"/>
    </row>
    <row r="13" spans="1:14" x14ac:dyDescent="0.25">
      <c r="A13" s="52">
        <v>1117</v>
      </c>
      <c r="B13" s="53" t="s">
        <v>108</v>
      </c>
      <c r="C13" s="234">
        <v>21654</v>
      </c>
      <c r="D13" s="234">
        <f t="shared" si="0"/>
        <v>24060</v>
      </c>
      <c r="E13" s="238"/>
      <c r="F13" s="247"/>
      <c r="G13" s="237">
        <f>'PPB Breakdwn'!O25</f>
        <v>24060</v>
      </c>
      <c r="H13" s="250"/>
      <c r="I13" s="243"/>
      <c r="J13" s="110" t="s">
        <v>334</v>
      </c>
      <c r="K13" s="49"/>
      <c r="L13" s="78">
        <f>SUM(D$9,D$28,D$30,D$36,$D$37,D$39)</f>
        <v>850000</v>
      </c>
      <c r="M13" t="s">
        <v>80</v>
      </c>
    </row>
    <row r="14" spans="1:14" x14ac:dyDescent="0.25">
      <c r="A14" s="52">
        <v>1300</v>
      </c>
      <c r="B14" s="53" t="s">
        <v>246</v>
      </c>
      <c r="C14" s="234">
        <v>108000</v>
      </c>
      <c r="D14" s="234">
        <f t="shared" si="0"/>
        <v>108000</v>
      </c>
      <c r="E14" s="238"/>
      <c r="F14" s="247">
        <f>Workings!E44+Workings!E48</f>
        <v>108000</v>
      </c>
      <c r="G14" s="237"/>
      <c r="H14" s="251"/>
      <c r="I14" s="243"/>
      <c r="J14" s="109" t="s">
        <v>115</v>
      </c>
      <c r="L14" s="79">
        <f>D11+D13+D34+D10</f>
        <v>148560</v>
      </c>
      <c r="M14" s="91" t="s">
        <v>81</v>
      </c>
      <c r="N14" s="49"/>
    </row>
    <row r="15" spans="1:14" x14ac:dyDescent="0.25">
      <c r="A15" s="52">
        <v>1301</v>
      </c>
      <c r="B15" s="53" t="s">
        <v>6</v>
      </c>
      <c r="C15" s="234">
        <v>846500</v>
      </c>
      <c r="D15" s="234">
        <f t="shared" si="0"/>
        <v>846500</v>
      </c>
      <c r="E15" s="238"/>
      <c r="F15" s="247">
        <f>'Annex II UN Grant'!E11</f>
        <v>116000</v>
      </c>
      <c r="G15" s="237">
        <f>SUM(Workings!C59:C60,Workings!C64:C67,Workings!C70:C77,Workings!C81:C85,Workings!C88)</f>
        <v>730500</v>
      </c>
      <c r="H15" s="250"/>
      <c r="I15" s="243"/>
      <c r="J15" s="109" t="s">
        <v>107</v>
      </c>
      <c r="L15" s="77">
        <f>SUM(D$49,D$50,D38)</f>
        <v>140000</v>
      </c>
      <c r="M15" s="91" t="s">
        <v>324</v>
      </c>
      <c r="N15" s="49"/>
    </row>
    <row r="16" spans="1:14" x14ac:dyDescent="0.25">
      <c r="A16" s="52">
        <v>1306</v>
      </c>
      <c r="B16" s="53" t="s">
        <v>31</v>
      </c>
      <c r="C16" s="234">
        <v>12000</v>
      </c>
      <c r="D16" s="234">
        <f t="shared" si="0"/>
        <v>12000</v>
      </c>
      <c r="E16" s="238"/>
      <c r="F16" s="247"/>
      <c r="G16" s="237">
        <f>12000</f>
        <v>12000</v>
      </c>
      <c r="H16" s="250"/>
      <c r="I16" s="243"/>
      <c r="J16" s="109" t="s">
        <v>333</v>
      </c>
      <c r="L16" s="80">
        <f>SUM(D$7,D$8,D$14,D$15,D$16,D$18,D$20,$D$21)</f>
        <v>2052717</v>
      </c>
      <c r="M16" t="s">
        <v>82</v>
      </c>
      <c r="N16" s="49"/>
    </row>
    <row r="17" spans="1:15" x14ac:dyDescent="0.25">
      <c r="A17" s="52">
        <v>1307</v>
      </c>
      <c r="B17" s="53" t="s">
        <v>11</v>
      </c>
      <c r="C17" s="234">
        <v>0</v>
      </c>
      <c r="D17" s="234">
        <f t="shared" si="0"/>
        <v>0</v>
      </c>
      <c r="E17" s="238"/>
      <c r="F17" s="247"/>
      <c r="G17" s="237"/>
      <c r="H17" s="251"/>
      <c r="I17" s="243"/>
      <c r="J17" s="109"/>
      <c r="L17" s="176">
        <f>D54+D55</f>
        <v>655500</v>
      </c>
      <c r="M17" s="91" t="s">
        <v>259</v>
      </c>
      <c r="N17" s="49"/>
    </row>
    <row r="18" spans="1:15" x14ac:dyDescent="0.25">
      <c r="A18" s="52">
        <v>1308</v>
      </c>
      <c r="B18" s="53" t="s">
        <v>12</v>
      </c>
      <c r="C18" s="234">
        <v>10000</v>
      </c>
      <c r="D18" s="234">
        <f t="shared" si="0"/>
        <v>10000</v>
      </c>
      <c r="E18" s="238"/>
      <c r="F18" s="247">
        <f>Workings!E46</f>
        <v>10000</v>
      </c>
      <c r="G18" s="237"/>
      <c r="H18" s="252"/>
      <c r="I18" s="243"/>
      <c r="J18" s="109" t="s">
        <v>255</v>
      </c>
      <c r="L18" s="165">
        <f>$D$59-SUM(L13:L17)-D57</f>
        <v>533223</v>
      </c>
      <c r="M18" t="s">
        <v>83</v>
      </c>
      <c r="N18" s="49"/>
    </row>
    <row r="19" spans="1:15" x14ac:dyDescent="0.25">
      <c r="A19" s="52">
        <v>1360</v>
      </c>
      <c r="B19" s="53" t="s">
        <v>38</v>
      </c>
      <c r="C19" s="234">
        <v>0</v>
      </c>
      <c r="D19" s="234">
        <f t="shared" si="0"/>
        <v>0</v>
      </c>
      <c r="E19" s="238"/>
      <c r="F19" s="247"/>
      <c r="G19" s="237"/>
      <c r="H19" s="251"/>
      <c r="I19" s="243"/>
      <c r="J19" s="109"/>
      <c r="L19" s="112">
        <f>D57</f>
        <v>35000</v>
      </c>
      <c r="M19" s="91" t="s">
        <v>323</v>
      </c>
      <c r="N19" s="49"/>
    </row>
    <row r="20" spans="1:15" x14ac:dyDescent="0.25">
      <c r="A20" s="52">
        <v>1361</v>
      </c>
      <c r="B20" s="53" t="s">
        <v>39</v>
      </c>
      <c r="C20" s="234">
        <v>0</v>
      </c>
      <c r="D20" s="234">
        <f t="shared" si="0"/>
        <v>0</v>
      </c>
      <c r="E20" s="238"/>
      <c r="F20" s="247"/>
      <c r="G20" s="237"/>
      <c r="H20" s="251"/>
      <c r="I20" s="243"/>
      <c r="J20" s="109"/>
      <c r="K20" s="91"/>
      <c r="N20" s="49"/>
    </row>
    <row r="21" spans="1:15" x14ac:dyDescent="0.25">
      <c r="A21" s="52">
        <v>1363</v>
      </c>
      <c r="B21" s="53" t="s">
        <v>13</v>
      </c>
      <c r="C21" s="234">
        <v>0</v>
      </c>
      <c r="D21" s="234">
        <f t="shared" si="0"/>
        <v>0</v>
      </c>
      <c r="E21" s="238"/>
      <c r="F21" s="247"/>
      <c r="G21" s="237"/>
      <c r="H21" s="251"/>
      <c r="I21" s="243"/>
      <c r="J21" s="109"/>
      <c r="N21" s="49"/>
    </row>
    <row r="22" spans="1:15" x14ac:dyDescent="0.25">
      <c r="A22" s="52">
        <v>1401</v>
      </c>
      <c r="B22" s="53" t="s">
        <v>19</v>
      </c>
      <c r="C22" s="234">
        <v>18000</v>
      </c>
      <c r="D22" s="234">
        <f t="shared" si="0"/>
        <v>18000</v>
      </c>
      <c r="E22" s="238"/>
      <c r="F22" s="247"/>
      <c r="G22" s="237">
        <f>ROUNDUP((Workings!Q19*12),-3)</f>
        <v>18000</v>
      </c>
      <c r="H22" s="250"/>
      <c r="I22" s="243"/>
      <c r="J22" s="109" t="s">
        <v>258</v>
      </c>
      <c r="K22" s="49"/>
      <c r="O22" s="49"/>
    </row>
    <row r="23" spans="1:15" x14ac:dyDescent="0.25">
      <c r="A23" s="52">
        <v>1402</v>
      </c>
      <c r="B23" s="53" t="s">
        <v>20</v>
      </c>
      <c r="C23" s="234">
        <v>11000</v>
      </c>
      <c r="D23" s="234">
        <f t="shared" si="0"/>
        <v>11000</v>
      </c>
      <c r="E23" s="238"/>
      <c r="F23" s="247"/>
      <c r="G23" s="237">
        <f>ROUNDUP(Workings!$Q$11*12,-3)</f>
        <v>11000</v>
      </c>
      <c r="H23" s="250"/>
      <c r="I23" s="243"/>
      <c r="J23" s="109" t="s">
        <v>109</v>
      </c>
      <c r="K23" s="49"/>
      <c r="O23" s="49"/>
    </row>
    <row r="24" spans="1:15" x14ac:dyDescent="0.25">
      <c r="A24" s="52">
        <v>1403</v>
      </c>
      <c r="B24" s="53" t="s">
        <v>21</v>
      </c>
      <c r="C24" s="234">
        <v>31000</v>
      </c>
      <c r="D24" s="234">
        <f t="shared" si="0"/>
        <v>31000</v>
      </c>
      <c r="E24" s="238"/>
      <c r="F24" s="247"/>
      <c r="G24" s="237">
        <f>ROUNDUP(Workings!$Q$15*12,-3)</f>
        <v>31000</v>
      </c>
      <c r="H24" s="250"/>
      <c r="I24" s="243"/>
      <c r="J24" s="109" t="s">
        <v>109</v>
      </c>
      <c r="O24" s="49"/>
    </row>
    <row r="25" spans="1:15" x14ac:dyDescent="0.25">
      <c r="A25" s="52">
        <v>1404</v>
      </c>
      <c r="B25" s="53" t="s">
        <v>22</v>
      </c>
      <c r="C25" s="234">
        <v>33000</v>
      </c>
      <c r="D25" s="234">
        <f t="shared" si="0"/>
        <v>33000</v>
      </c>
      <c r="E25" s="238"/>
      <c r="F25" s="247"/>
      <c r="G25" s="237">
        <f>ROUNDUP(Workings!$Q$3*12,-3)</f>
        <v>33000</v>
      </c>
      <c r="H25" s="250"/>
      <c r="I25" s="243"/>
      <c r="J25" s="109" t="s">
        <v>110</v>
      </c>
      <c r="O25" s="49"/>
    </row>
    <row r="26" spans="1:15" x14ac:dyDescent="0.25">
      <c r="A26" s="52">
        <v>1405</v>
      </c>
      <c r="B26" s="53" t="s">
        <v>23</v>
      </c>
      <c r="C26" s="234">
        <v>6000</v>
      </c>
      <c r="D26" s="234">
        <f t="shared" si="0"/>
        <v>6000</v>
      </c>
      <c r="E26" s="238"/>
      <c r="F26" s="247"/>
      <c r="G26" s="237">
        <f>ROUNDUP(Workings!$Q$7*12,-3)</f>
        <v>6000</v>
      </c>
      <c r="H26" s="250"/>
      <c r="I26" s="243"/>
      <c r="J26" s="109" t="s">
        <v>111</v>
      </c>
      <c r="O26" s="49"/>
    </row>
    <row r="27" spans="1:15" x14ac:dyDescent="0.25">
      <c r="A27" s="52">
        <v>1501</v>
      </c>
      <c r="B27" s="53" t="s">
        <v>14</v>
      </c>
      <c r="C27" s="234">
        <v>100000</v>
      </c>
      <c r="D27" s="234">
        <f t="shared" si="0"/>
        <v>50000</v>
      </c>
      <c r="E27" s="238"/>
      <c r="F27" s="247"/>
      <c r="G27" s="237">
        <f>50000</f>
        <v>50000</v>
      </c>
      <c r="H27" s="250"/>
      <c r="I27" s="243"/>
      <c r="J27" s="150" t="s">
        <v>110</v>
      </c>
      <c r="O27" s="49"/>
    </row>
    <row r="28" spans="1:15" x14ac:dyDescent="0.25">
      <c r="A28" s="52">
        <v>1600</v>
      </c>
      <c r="B28" s="53" t="s">
        <v>15</v>
      </c>
      <c r="C28" s="234">
        <v>0</v>
      </c>
      <c r="D28" s="234">
        <f t="shared" si="0"/>
        <v>0</v>
      </c>
      <c r="E28" s="238"/>
      <c r="F28" s="247"/>
      <c r="G28" s="237"/>
      <c r="H28" s="251"/>
      <c r="I28" s="243"/>
      <c r="J28" s="110"/>
      <c r="K28" s="49"/>
    </row>
    <row r="29" spans="1:15" x14ac:dyDescent="0.25">
      <c r="A29" s="52">
        <v>1601</v>
      </c>
      <c r="B29" s="53" t="s">
        <v>90</v>
      </c>
      <c r="C29" s="234">
        <v>207232</v>
      </c>
      <c r="D29" s="234">
        <f t="shared" si="0"/>
        <v>207223</v>
      </c>
      <c r="E29" s="238"/>
      <c r="F29" s="247">
        <f>'PPB Breakdwn'!N6</f>
        <v>60000</v>
      </c>
      <c r="G29" s="237">
        <f>'PPB Breakdwn'!$O$6+'PPB Breakdwn'!$O$7+'PPB Breakdwn'!$O$8+'PPB Breakdwn'!$O$11+'PPB Breakdwn'!$O$12+'PPB Breakdwn'!$O$13+'PPB Breakdwn'!$O$14+'PPB Breakdwn'!$O$16-9</f>
        <v>147223</v>
      </c>
      <c r="H29" s="250"/>
      <c r="I29" s="243"/>
      <c r="J29" s="109" t="s">
        <v>114</v>
      </c>
      <c r="O29" s="49"/>
    </row>
    <row r="30" spans="1:15" x14ac:dyDescent="0.25">
      <c r="A30" s="52">
        <v>1602</v>
      </c>
      <c r="B30" s="53" t="s">
        <v>17</v>
      </c>
      <c r="C30" s="234">
        <v>10000</v>
      </c>
      <c r="D30" s="234">
        <f t="shared" si="0"/>
        <v>10000</v>
      </c>
      <c r="E30" s="238"/>
      <c r="F30" s="247">
        <f>10000</f>
        <v>10000</v>
      </c>
      <c r="G30" s="237"/>
      <c r="H30" s="251"/>
      <c r="I30" s="243"/>
      <c r="J30" s="109" t="s">
        <v>135</v>
      </c>
    </row>
    <row r="31" spans="1:15" x14ac:dyDescent="0.25">
      <c r="A31" s="52">
        <v>2001</v>
      </c>
      <c r="B31" s="53" t="s">
        <v>32</v>
      </c>
      <c r="C31" s="234">
        <v>0</v>
      </c>
      <c r="D31" s="234">
        <f t="shared" si="0"/>
        <v>0</v>
      </c>
      <c r="E31" s="238"/>
      <c r="F31" s="247"/>
      <c r="G31" s="237"/>
      <c r="H31" s="251"/>
      <c r="I31" s="243"/>
      <c r="J31" s="109"/>
      <c r="L31" s="49"/>
    </row>
    <row r="32" spans="1:15" x14ac:dyDescent="0.25">
      <c r="A32" s="52">
        <v>2020</v>
      </c>
      <c r="B32" s="53" t="s">
        <v>18</v>
      </c>
      <c r="C32" s="234">
        <v>0</v>
      </c>
      <c r="D32" s="234">
        <f t="shared" si="0"/>
        <v>0</v>
      </c>
      <c r="E32" s="238"/>
      <c r="F32" s="247"/>
      <c r="G32" s="237"/>
      <c r="H32" s="251"/>
      <c r="I32" s="243"/>
      <c r="J32" s="109"/>
      <c r="K32" s="49"/>
      <c r="L32" s="49"/>
    </row>
    <row r="33" spans="1:15" x14ac:dyDescent="0.25">
      <c r="A33" s="52">
        <v>2040</v>
      </c>
      <c r="B33" s="53" t="s">
        <v>41</v>
      </c>
      <c r="C33" s="234">
        <v>0</v>
      </c>
      <c r="D33" s="234">
        <f t="shared" si="0"/>
        <v>0</v>
      </c>
      <c r="E33" s="238"/>
      <c r="F33" s="247"/>
      <c r="G33" s="237"/>
      <c r="H33" s="251"/>
      <c r="I33" s="243"/>
      <c r="J33" s="109"/>
      <c r="L33" s="49"/>
    </row>
    <row r="34" spans="1:15" x14ac:dyDescent="0.25">
      <c r="A34" s="52">
        <v>3100</v>
      </c>
      <c r="B34" s="53" t="s">
        <v>322</v>
      </c>
      <c r="C34" s="234">
        <v>51500</v>
      </c>
      <c r="D34" s="234">
        <f t="shared" si="0"/>
        <v>25500</v>
      </c>
      <c r="E34" s="238"/>
      <c r="F34" s="247"/>
      <c r="G34" s="237"/>
      <c r="H34" s="250">
        <f>'PPB Breakdwn'!$O$54+'PPB Breakdwn'!$O$35+'PPB Breakdwn'!$O$36+'PPB Breakdwn'!$O$37</f>
        <v>25500</v>
      </c>
      <c r="I34" s="239"/>
      <c r="J34" s="110" t="s">
        <v>250</v>
      </c>
      <c r="L34" s="49"/>
    </row>
    <row r="35" spans="1:15" x14ac:dyDescent="0.25">
      <c r="A35" s="52">
        <v>3200</v>
      </c>
      <c r="B35" s="53" t="s">
        <v>7</v>
      </c>
      <c r="C35" s="234">
        <v>60000</v>
      </c>
      <c r="D35" s="234">
        <f t="shared" si="0"/>
        <v>60000</v>
      </c>
      <c r="E35" s="238"/>
      <c r="F35" s="247"/>
      <c r="G35" s="237"/>
      <c r="H35" s="250">
        <f>60000</f>
        <v>60000</v>
      </c>
      <c r="I35" s="243"/>
      <c r="J35" s="109" t="s">
        <v>116</v>
      </c>
      <c r="O35" s="49"/>
    </row>
    <row r="36" spans="1:15" ht="30" customHeight="1" x14ac:dyDescent="0.25">
      <c r="A36" s="52">
        <v>3201</v>
      </c>
      <c r="B36" s="62" t="s">
        <v>71</v>
      </c>
      <c r="C36" s="341">
        <v>1751000</v>
      </c>
      <c r="D36" s="341">
        <f t="shared" si="0"/>
        <v>540000</v>
      </c>
      <c r="E36" s="238"/>
      <c r="F36" s="338">
        <f>'Annex II UN Grant'!E13</f>
        <v>143857.5</v>
      </c>
      <c r="G36" s="339"/>
      <c r="H36" s="340">
        <f>'PPB Breakdwn'!O46+'PPB Breakdwn'!O47+'PPB Breakdwn'!O48-F36</f>
        <v>396142.5</v>
      </c>
      <c r="I36" s="239"/>
      <c r="J36" s="109" t="s">
        <v>332</v>
      </c>
      <c r="K36" s="49"/>
    </row>
    <row r="37" spans="1:15" ht="15" customHeight="1" x14ac:dyDescent="0.25">
      <c r="A37" s="52">
        <v>3205</v>
      </c>
      <c r="B37" s="53" t="s">
        <v>29</v>
      </c>
      <c r="C37" s="234">
        <v>0</v>
      </c>
      <c r="D37" s="234">
        <f t="shared" si="0"/>
        <v>0</v>
      </c>
      <c r="E37" s="238"/>
      <c r="F37" s="247"/>
      <c r="G37" s="237"/>
      <c r="H37" s="251"/>
      <c r="I37" s="243"/>
      <c r="J37" s="109"/>
      <c r="L37" s="49"/>
      <c r="O37" s="49"/>
    </row>
    <row r="38" spans="1:15" ht="23" x14ac:dyDescent="0.25">
      <c r="A38" s="52">
        <v>3206</v>
      </c>
      <c r="B38" s="62" t="s">
        <v>72</v>
      </c>
      <c r="C38" s="234">
        <v>93600</v>
      </c>
      <c r="D38" s="234">
        <f t="shared" si="0"/>
        <v>39000</v>
      </c>
      <c r="E38" s="238"/>
      <c r="F38" s="247"/>
      <c r="G38" s="237">
        <f>('PPB Breakdwn'!$O$42+'PPB Breakdwn'!$O$43)/2</f>
        <v>19500</v>
      </c>
      <c r="H38" s="250">
        <f>('PPB Breakdwn'!$O$42+'PPB Breakdwn'!$O$43)/2</f>
        <v>19500</v>
      </c>
      <c r="I38" s="243"/>
      <c r="J38" s="109" t="s">
        <v>133</v>
      </c>
    </row>
    <row r="39" spans="1:15" x14ac:dyDescent="0.25">
      <c r="A39" s="52">
        <v>3211</v>
      </c>
      <c r="B39" s="53" t="s">
        <v>73</v>
      </c>
      <c r="C39" s="234">
        <v>260000</v>
      </c>
      <c r="D39" s="234">
        <f t="shared" si="0"/>
        <v>260000</v>
      </c>
      <c r="E39" s="238">
        <f>'PPB Breakdwn'!$O$50-$G$39</f>
        <v>131128</v>
      </c>
      <c r="F39" s="247"/>
      <c r="G39" s="237">
        <f>128872</f>
        <v>128872</v>
      </c>
      <c r="H39" s="251"/>
      <c r="I39" s="239"/>
      <c r="J39" s="109" t="s">
        <v>251</v>
      </c>
      <c r="K39" s="49"/>
      <c r="M39" s="49"/>
    </row>
    <row r="40" spans="1:15" ht="12.75" customHeight="1" x14ac:dyDescent="0.25">
      <c r="A40" s="52">
        <v>4001</v>
      </c>
      <c r="B40" s="53" t="s">
        <v>33</v>
      </c>
      <c r="C40" s="234">
        <v>0</v>
      </c>
      <c r="D40" s="234">
        <f t="shared" si="0"/>
        <v>0</v>
      </c>
      <c r="E40" s="238"/>
      <c r="F40" s="247"/>
      <c r="G40" s="237"/>
      <c r="H40" s="251"/>
      <c r="I40" s="243"/>
      <c r="J40" s="109"/>
      <c r="L40" s="49"/>
      <c r="O40" s="49"/>
    </row>
    <row r="41" spans="1:15" ht="12.75" customHeight="1" x14ac:dyDescent="0.25">
      <c r="A41" s="52">
        <v>4002</v>
      </c>
      <c r="B41" s="53" t="s">
        <v>47</v>
      </c>
      <c r="C41" s="234">
        <v>6000</v>
      </c>
      <c r="D41" s="234">
        <f t="shared" si="0"/>
        <v>6000</v>
      </c>
      <c r="E41" s="238"/>
      <c r="F41" s="247"/>
      <c r="G41" s="237">
        <f>6000</f>
        <v>6000</v>
      </c>
      <c r="H41" s="250"/>
      <c r="I41" s="243"/>
      <c r="J41" s="109" t="s">
        <v>137</v>
      </c>
      <c r="O41" s="49"/>
    </row>
    <row r="42" spans="1:15" ht="13.5" customHeight="1" x14ac:dyDescent="0.25">
      <c r="A42" s="52">
        <v>4003</v>
      </c>
      <c r="B42" s="53" t="s">
        <v>42</v>
      </c>
      <c r="C42" s="234">
        <v>10000</v>
      </c>
      <c r="D42" s="234">
        <f t="shared" si="0"/>
        <v>20000</v>
      </c>
      <c r="E42" s="238"/>
      <c r="F42" s="247"/>
      <c r="G42" s="237"/>
      <c r="H42" s="250"/>
      <c r="I42" s="239">
        <f>20000</f>
        <v>20000</v>
      </c>
      <c r="J42" s="109" t="s">
        <v>138</v>
      </c>
      <c r="O42" s="49"/>
    </row>
    <row r="43" spans="1:15" x14ac:dyDescent="0.25">
      <c r="A43" s="52">
        <v>4004</v>
      </c>
      <c r="B43" s="53" t="s">
        <v>26</v>
      </c>
      <c r="C43" s="234">
        <v>0</v>
      </c>
      <c r="D43" s="234">
        <f t="shared" si="0"/>
        <v>0</v>
      </c>
      <c r="E43" s="238"/>
      <c r="F43" s="247"/>
      <c r="G43" s="237"/>
      <c r="H43" s="251"/>
      <c r="I43" s="239"/>
      <c r="J43" s="109"/>
      <c r="O43" s="49"/>
    </row>
    <row r="44" spans="1:15" x14ac:dyDescent="0.25">
      <c r="A44" s="52">
        <v>4030</v>
      </c>
      <c r="B44" s="53" t="s">
        <v>25</v>
      </c>
      <c r="C44" s="234">
        <v>2000</v>
      </c>
      <c r="D44" s="234">
        <f t="shared" si="0"/>
        <v>2000</v>
      </c>
      <c r="E44" s="238"/>
      <c r="F44" s="247"/>
      <c r="G44" s="237"/>
      <c r="H44" s="250"/>
      <c r="I44" s="239">
        <f>2000</f>
        <v>2000</v>
      </c>
      <c r="J44" s="109" t="s">
        <v>254</v>
      </c>
      <c r="O44" s="49"/>
    </row>
    <row r="45" spans="1:15" x14ac:dyDescent="0.25">
      <c r="A45" s="52">
        <v>4035</v>
      </c>
      <c r="B45" s="53" t="s">
        <v>43</v>
      </c>
      <c r="C45" s="234">
        <v>0</v>
      </c>
      <c r="D45" s="234">
        <f t="shared" si="0"/>
        <v>0</v>
      </c>
      <c r="E45" s="238"/>
      <c r="F45" s="247"/>
      <c r="G45" s="237"/>
      <c r="H45" s="251"/>
      <c r="I45" s="239"/>
      <c r="J45" s="109"/>
      <c r="O45" s="49"/>
    </row>
    <row r="46" spans="1:15" x14ac:dyDescent="0.25">
      <c r="A46" s="52">
        <v>4100</v>
      </c>
      <c r="B46" s="53" t="s">
        <v>28</v>
      </c>
      <c r="C46" s="234">
        <v>9000</v>
      </c>
      <c r="D46" s="234">
        <f t="shared" si="0"/>
        <v>9000</v>
      </c>
      <c r="E46" s="238"/>
      <c r="F46" s="247"/>
      <c r="G46" s="237"/>
      <c r="H46" s="250"/>
      <c r="I46" s="239">
        <f>9000</f>
        <v>9000</v>
      </c>
      <c r="J46" s="109" t="s">
        <v>253</v>
      </c>
      <c r="O46" s="49"/>
    </row>
    <row r="47" spans="1:15" x14ac:dyDescent="0.25">
      <c r="A47" s="52">
        <v>4200</v>
      </c>
      <c r="B47" s="53" t="s">
        <v>30</v>
      </c>
      <c r="C47" s="234">
        <v>50000</v>
      </c>
      <c r="D47" s="234">
        <f t="shared" si="0"/>
        <v>30000</v>
      </c>
      <c r="E47" s="238">
        <f>30000</f>
        <v>30000</v>
      </c>
      <c r="F47" s="247"/>
      <c r="G47" s="237"/>
      <c r="H47" s="250"/>
      <c r="I47" s="243"/>
      <c r="J47" s="115" t="s">
        <v>308</v>
      </c>
      <c r="K47" s="151"/>
      <c r="O47" s="49"/>
    </row>
    <row r="48" spans="1:15" x14ac:dyDescent="0.25">
      <c r="A48" s="52">
        <v>4300</v>
      </c>
      <c r="B48" s="53" t="s">
        <v>8</v>
      </c>
      <c r="C48" s="234">
        <v>40000</v>
      </c>
      <c r="D48" s="234">
        <f>30000</f>
        <v>30000</v>
      </c>
      <c r="E48" s="238">
        <f>30000</f>
        <v>30000</v>
      </c>
      <c r="F48" s="247"/>
      <c r="G48" s="237"/>
      <c r="H48" s="250"/>
      <c r="I48" s="243"/>
      <c r="J48" s="109" t="s">
        <v>262</v>
      </c>
      <c r="O48" s="49"/>
    </row>
    <row r="49" spans="1:15" x14ac:dyDescent="0.25">
      <c r="A49" s="52">
        <v>4400</v>
      </c>
      <c r="B49" s="53" t="s">
        <v>141</v>
      </c>
      <c r="C49" s="234">
        <v>56000</v>
      </c>
      <c r="D49" s="234">
        <f t="shared" si="0"/>
        <v>56000</v>
      </c>
      <c r="E49" s="238"/>
      <c r="F49" s="247"/>
      <c r="G49" s="237">
        <f>ROUNDUP((Workings!$Q$22+Workings!$Q$23)*12,-3)</f>
        <v>56000</v>
      </c>
      <c r="H49" s="250"/>
      <c r="I49" s="243"/>
      <c r="J49" s="109" t="s">
        <v>256</v>
      </c>
      <c r="O49" s="49"/>
    </row>
    <row r="50" spans="1:15" x14ac:dyDescent="0.25">
      <c r="A50" s="52">
        <v>4410</v>
      </c>
      <c r="B50" s="53" t="s">
        <v>64</v>
      </c>
      <c r="C50" s="234">
        <v>75000</v>
      </c>
      <c r="D50" s="234">
        <f t="shared" si="0"/>
        <v>45000</v>
      </c>
      <c r="E50" s="238"/>
      <c r="F50" s="247"/>
      <c r="G50" s="237">
        <f>'PPB Breakdwn'!$O$28</f>
        <v>45000</v>
      </c>
      <c r="H50" s="250"/>
      <c r="I50" s="243"/>
      <c r="J50" s="109" t="s">
        <v>136</v>
      </c>
      <c r="O50" s="49"/>
    </row>
    <row r="51" spans="1:15" x14ac:dyDescent="0.25">
      <c r="A51" s="52">
        <v>4500</v>
      </c>
      <c r="B51" s="53" t="s">
        <v>34</v>
      </c>
      <c r="C51" s="234">
        <v>5000</v>
      </c>
      <c r="D51" s="234">
        <f t="shared" si="0"/>
        <v>5000</v>
      </c>
      <c r="E51" s="238"/>
      <c r="F51" s="247"/>
      <c r="G51" s="237">
        <f>5000</f>
        <v>5000</v>
      </c>
      <c r="H51" s="250"/>
      <c r="I51" s="243"/>
      <c r="J51" s="109" t="s">
        <v>118</v>
      </c>
      <c r="M51" s="49"/>
      <c r="O51" s="49"/>
    </row>
    <row r="52" spans="1:15" x14ac:dyDescent="0.25">
      <c r="A52" s="52">
        <v>4600</v>
      </c>
      <c r="B52" s="53" t="s">
        <v>10</v>
      </c>
      <c r="C52" s="234">
        <v>0</v>
      </c>
      <c r="D52" s="234">
        <f t="shared" si="0"/>
        <v>0</v>
      </c>
      <c r="E52" s="238"/>
      <c r="F52" s="247"/>
      <c r="G52" s="237"/>
      <c r="H52" s="251"/>
      <c r="I52" s="243"/>
      <c r="J52" s="109"/>
      <c r="O52" s="49"/>
    </row>
    <row r="53" spans="1:15" x14ac:dyDescent="0.25">
      <c r="A53" s="52">
        <v>5010</v>
      </c>
      <c r="B53" s="53" t="s">
        <v>24</v>
      </c>
      <c r="C53" s="234">
        <v>0</v>
      </c>
      <c r="D53" s="234">
        <f>10000</f>
        <v>10000</v>
      </c>
      <c r="E53" s="238">
        <f>10000</f>
        <v>10000</v>
      </c>
      <c r="F53" s="247"/>
      <c r="G53" s="237"/>
      <c r="H53" s="250"/>
      <c r="I53" s="243"/>
      <c r="J53" s="109" t="s">
        <v>118</v>
      </c>
      <c r="O53" s="49"/>
    </row>
    <row r="54" spans="1:15" ht="23" x14ac:dyDescent="0.25">
      <c r="A54" s="52">
        <v>5040</v>
      </c>
      <c r="B54" s="62" t="s">
        <v>117</v>
      </c>
      <c r="C54" s="234">
        <v>470000</v>
      </c>
      <c r="D54" s="234">
        <f t="shared" si="0"/>
        <v>630000</v>
      </c>
      <c r="E54" s="238"/>
      <c r="F54" s="247"/>
      <c r="G54" s="237"/>
      <c r="H54" s="250">
        <f>'PPB Breakdwn'!O49+'PPB Breakdwn'!O20-I54</f>
        <v>595000</v>
      </c>
      <c r="I54" s="239">
        <f>18000+17000</f>
        <v>35000</v>
      </c>
      <c r="J54" s="114" t="s">
        <v>257</v>
      </c>
      <c r="O54" s="49"/>
    </row>
    <row r="55" spans="1:15" x14ac:dyDescent="0.25">
      <c r="A55" s="52">
        <v>5200</v>
      </c>
      <c r="B55" s="53" t="s">
        <v>44</v>
      </c>
      <c r="C55" s="234">
        <v>20000</v>
      </c>
      <c r="D55" s="234">
        <f t="shared" si="0"/>
        <v>25500</v>
      </c>
      <c r="E55" s="238"/>
      <c r="F55" s="247"/>
      <c r="G55" s="237"/>
      <c r="H55" s="250"/>
      <c r="I55" s="239">
        <f>25500</f>
        <v>25500</v>
      </c>
      <c r="J55" s="109" t="s">
        <v>134</v>
      </c>
      <c r="O55" s="49"/>
    </row>
    <row r="56" spans="1:15" x14ac:dyDescent="0.25">
      <c r="A56" s="52">
        <v>5300</v>
      </c>
      <c r="B56" s="53" t="s">
        <v>27</v>
      </c>
      <c r="C56" s="234">
        <v>5000</v>
      </c>
      <c r="D56" s="234">
        <f t="shared" si="0"/>
        <v>5000</v>
      </c>
      <c r="E56" s="238">
        <f>5000</f>
        <v>5000</v>
      </c>
      <c r="F56" s="247"/>
      <c r="G56" s="237"/>
      <c r="H56" s="250"/>
      <c r="I56" s="243"/>
      <c r="J56" s="109" t="s">
        <v>113</v>
      </c>
      <c r="O56" s="49"/>
    </row>
    <row r="57" spans="1:15" x14ac:dyDescent="0.25">
      <c r="A57" s="52">
        <v>5350</v>
      </c>
      <c r="B57" s="57" t="s">
        <v>146</v>
      </c>
      <c r="C57" s="234">
        <v>35000</v>
      </c>
      <c r="D57" s="234">
        <f t="shared" si="0"/>
        <v>35000</v>
      </c>
      <c r="E57" s="245"/>
      <c r="F57" s="248"/>
      <c r="G57" s="244"/>
      <c r="H57" s="253">
        <f>35000</f>
        <v>35000</v>
      </c>
      <c r="I57" s="239"/>
      <c r="J57" s="109" t="s">
        <v>252</v>
      </c>
      <c r="O57" s="49"/>
    </row>
    <row r="58" spans="1:15" x14ac:dyDescent="0.25">
      <c r="A58" s="52">
        <v>5400</v>
      </c>
      <c r="B58" s="57" t="s">
        <v>45</v>
      </c>
      <c r="C58" s="234">
        <v>0</v>
      </c>
      <c r="D58" s="234">
        <f t="shared" si="0"/>
        <v>0</v>
      </c>
      <c r="E58" s="245"/>
      <c r="F58" s="248"/>
      <c r="G58" s="244"/>
      <c r="H58" s="253"/>
      <c r="I58" s="243"/>
      <c r="J58" s="109"/>
      <c r="O58" s="49"/>
    </row>
    <row r="59" spans="1:15" ht="15.5" thickBot="1" x14ac:dyDescent="0.3">
      <c r="A59" s="58"/>
      <c r="B59" s="59" t="s">
        <v>46</v>
      </c>
      <c r="C59" s="241">
        <f t="shared" ref="C59:I59" si="1">SUM(C7:C58)</f>
        <v>5649703</v>
      </c>
      <c r="D59" s="108">
        <f>SUM(D7:D58)</f>
        <v>4415000</v>
      </c>
      <c r="E59" s="241">
        <f t="shared" si="1"/>
        <v>206128</v>
      </c>
      <c r="F59" s="241">
        <f t="shared" si="1"/>
        <v>1299999.5</v>
      </c>
      <c r="G59" s="241">
        <f t="shared" si="1"/>
        <v>1323155</v>
      </c>
      <c r="H59" s="241">
        <f t="shared" si="1"/>
        <v>1395217.5</v>
      </c>
      <c r="I59" s="241">
        <f t="shared" si="1"/>
        <v>190500</v>
      </c>
    </row>
    <row r="61" spans="1:15" x14ac:dyDescent="0.25">
      <c r="J61" s="76"/>
      <c r="K61" s="76"/>
      <c r="N61" s="76"/>
      <c r="O61" s="76"/>
    </row>
    <row r="62" spans="1:15" ht="13" x14ac:dyDescent="0.3">
      <c r="C62" s="28" t="s">
        <v>158</v>
      </c>
      <c r="D62" s="194">
        <f t="shared" ref="D62:G62" si="2">SUM(D58,D56,D53,D51,D50,D49,D48,D47,D46,D44,D42,D41,D35,D27,D26,D25,D24,D23,D22,D16,D20)</f>
        <v>439000</v>
      </c>
      <c r="E62" s="194">
        <f t="shared" si="2"/>
        <v>75000</v>
      </c>
      <c r="F62" s="194">
        <f t="shared" si="2"/>
        <v>0</v>
      </c>
      <c r="G62" s="194">
        <f t="shared" si="2"/>
        <v>273000</v>
      </c>
      <c r="H62" s="194">
        <f>SUM(H58,H56,H53,H51,H50,H49,H48,H47,H46,H44,H42,H41,H35,H27,H26,H25,H24,H23,H22,H16,H20)</f>
        <v>60000</v>
      </c>
      <c r="I62" s="194">
        <f>SUM(I58,I56,I53,I51,I50,I49,I48,I47,I46,I44,I42,I41,I35,I27,I26,I25,I24,I23,I22,I16,I20)</f>
        <v>31000</v>
      </c>
      <c r="L62" s="76"/>
      <c r="M62" s="76"/>
    </row>
    <row r="63" spans="1:15" x14ac:dyDescent="0.25">
      <c r="G63" s="112"/>
    </row>
    <row r="66" spans="4:9" x14ac:dyDescent="0.25">
      <c r="D66" s="112"/>
    </row>
    <row r="69" spans="4:9" x14ac:dyDescent="0.25">
      <c r="I69" s="112">
        <f>(H59+I59)</f>
        <v>1585717.5</v>
      </c>
    </row>
  </sheetData>
  <mergeCells count="2">
    <mergeCell ref="A2:I2"/>
    <mergeCell ref="E5:E6"/>
  </mergeCells>
  <pageMargins left="0.33" right="0.31" top="0.5" bottom="0.25" header="0.5" footer="0.5"/>
  <pageSetup scale="65"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O66"/>
  <sheetViews>
    <sheetView workbookViewId="0">
      <pane xSplit="11" ySplit="4" topLeftCell="M44" activePane="bottomRight" state="frozen"/>
      <selection pane="topRight" activeCell="L1" sqref="L1"/>
      <selection pane="bottomLeft" activeCell="A5" sqref="A5"/>
      <selection pane="bottomRight" activeCell="O46" sqref="O46:O47"/>
    </sheetView>
  </sheetViews>
  <sheetFormatPr defaultColWidth="8.81640625" defaultRowHeight="12.5" x14ac:dyDescent="0.25"/>
  <cols>
    <col min="1" max="1" width="1.6328125" style="121" customWidth="1"/>
    <col min="2" max="8" width="8.81640625" style="121"/>
    <col min="9" max="9" width="9.453125" style="121" customWidth="1"/>
    <col min="10" max="10" width="8.81640625" style="121"/>
    <col min="11" max="11" width="38" style="121" customWidth="1"/>
    <col min="12" max="12" width="10.6328125" style="149" customWidth="1"/>
    <col min="13" max="13" width="12.453125" style="149" customWidth="1"/>
    <col min="14" max="14" width="15.54296875" style="149" customWidth="1"/>
    <col min="15" max="15" width="13.81640625" style="149" customWidth="1"/>
    <col min="16" max="16384" width="8.81640625" style="121"/>
  </cols>
  <sheetData>
    <row r="2" spans="2:15" ht="13" x14ac:dyDescent="0.3">
      <c r="B2" s="117"/>
      <c r="C2" s="118"/>
      <c r="D2" s="118"/>
      <c r="E2" s="118"/>
      <c r="F2" s="118"/>
      <c r="G2" s="118"/>
      <c r="H2" s="118"/>
      <c r="I2" s="118"/>
      <c r="J2" s="118"/>
      <c r="K2" s="118"/>
      <c r="L2" s="119" t="s">
        <v>119</v>
      </c>
      <c r="M2" s="120">
        <v>2021</v>
      </c>
      <c r="N2" s="120">
        <v>2021</v>
      </c>
      <c r="O2" s="120">
        <v>2021</v>
      </c>
    </row>
    <row r="3" spans="2:15" ht="15.5" x14ac:dyDescent="0.35">
      <c r="B3" s="323" t="s">
        <v>306</v>
      </c>
      <c r="C3" s="323"/>
      <c r="D3" s="323"/>
      <c r="E3" s="323"/>
      <c r="F3" s="323"/>
      <c r="G3" s="323"/>
      <c r="H3" s="323"/>
      <c r="I3" s="323"/>
      <c r="J3" s="323"/>
      <c r="K3" s="124"/>
      <c r="L3" s="125"/>
      <c r="M3" s="126" t="s">
        <v>120</v>
      </c>
      <c r="N3" s="126" t="s">
        <v>236</v>
      </c>
      <c r="O3" s="126" t="s">
        <v>237</v>
      </c>
    </row>
    <row r="4" spans="2:15" x14ac:dyDescent="0.25">
      <c r="B4" s="127"/>
      <c r="C4" s="128"/>
      <c r="D4" s="128"/>
      <c r="E4" s="128"/>
      <c r="F4" s="128"/>
      <c r="G4" s="128"/>
      <c r="H4" s="128"/>
      <c r="I4" s="128"/>
      <c r="J4" s="128"/>
      <c r="K4" s="128"/>
      <c r="L4" s="129"/>
      <c r="M4" s="129"/>
      <c r="N4" s="129"/>
      <c r="O4" s="129"/>
    </row>
    <row r="5" spans="2:15" ht="13" x14ac:dyDescent="0.3">
      <c r="B5" s="127"/>
      <c r="C5" s="130" t="s">
        <v>121</v>
      </c>
      <c r="D5" s="131"/>
      <c r="E5" s="132"/>
      <c r="F5" s="132"/>
      <c r="G5" s="132"/>
      <c r="H5" s="132"/>
      <c r="I5" s="133"/>
      <c r="J5" s="128"/>
      <c r="K5" s="128"/>
      <c r="L5" s="129"/>
      <c r="M5" s="129"/>
      <c r="N5" s="134"/>
      <c r="O5" s="134"/>
    </row>
    <row r="6" spans="2:15" ht="25" customHeight="1" x14ac:dyDescent="0.25">
      <c r="B6" s="127"/>
      <c r="C6" s="128"/>
      <c r="D6" s="128"/>
      <c r="E6" s="311" t="s">
        <v>205</v>
      </c>
      <c r="F6" s="312"/>
      <c r="G6" s="312"/>
      <c r="H6" s="312"/>
      <c r="I6" s="312"/>
      <c r="J6" s="312"/>
      <c r="K6" s="313"/>
      <c r="L6" s="135" t="s">
        <v>123</v>
      </c>
      <c r="M6" s="213">
        <f>2</f>
        <v>2</v>
      </c>
      <c r="N6" s="213">
        <f>M6/2*60000</f>
        <v>60000</v>
      </c>
      <c r="O6" s="213">
        <f>M6/2*60000</f>
        <v>60000</v>
      </c>
    </row>
    <row r="7" spans="2:15" ht="25" customHeight="1" x14ac:dyDescent="0.25">
      <c r="B7" s="127"/>
      <c r="C7" s="128"/>
      <c r="D7" s="128"/>
      <c r="E7" s="311" t="s">
        <v>206</v>
      </c>
      <c r="F7" s="312"/>
      <c r="G7" s="312"/>
      <c r="H7" s="312"/>
      <c r="I7" s="312"/>
      <c r="J7" s="312"/>
      <c r="K7" s="313"/>
      <c r="L7" s="135" t="s">
        <v>123</v>
      </c>
      <c r="M7" s="214">
        <v>1</v>
      </c>
      <c r="N7" s="214">
        <f>0</f>
        <v>0</v>
      </c>
      <c r="O7" s="136">
        <f>M7*60000</f>
        <v>60000</v>
      </c>
    </row>
    <row r="8" spans="2:15" ht="25" customHeight="1" x14ac:dyDescent="0.25">
      <c r="B8" s="127"/>
      <c r="C8" s="128"/>
      <c r="D8" s="128"/>
      <c r="E8" s="324" t="s">
        <v>213</v>
      </c>
      <c r="F8" s="325"/>
      <c r="G8" s="325"/>
      <c r="H8" s="325"/>
      <c r="I8" s="325"/>
      <c r="J8" s="325"/>
      <c r="K8" s="326"/>
      <c r="L8" s="135" t="s">
        <v>122</v>
      </c>
      <c r="M8" s="214">
        <v>1</v>
      </c>
      <c r="N8" s="214">
        <f>0</f>
        <v>0</v>
      </c>
      <c r="O8" s="136">
        <f>(209*12*4)+(2000)*4</f>
        <v>18032</v>
      </c>
    </row>
    <row r="9" spans="2:15" x14ac:dyDescent="0.25">
      <c r="B9" s="127"/>
      <c r="C9" s="128"/>
      <c r="D9" s="128"/>
      <c r="E9" s="128"/>
      <c r="F9" s="128"/>
      <c r="G9" s="128"/>
      <c r="H9" s="128"/>
      <c r="I9" s="128"/>
      <c r="J9" s="128"/>
      <c r="K9" s="128"/>
      <c r="L9" s="129"/>
      <c r="M9" s="134"/>
      <c r="N9" s="134"/>
      <c r="O9" s="134"/>
    </row>
    <row r="10" spans="2:15" ht="13" x14ac:dyDescent="0.3">
      <c r="B10" s="127"/>
      <c r="C10" s="130" t="s">
        <v>124</v>
      </c>
      <c r="D10" s="131"/>
      <c r="E10" s="132"/>
      <c r="F10" s="132"/>
      <c r="G10" s="132"/>
      <c r="H10" s="132"/>
      <c r="I10" s="133"/>
      <c r="J10" s="128"/>
      <c r="K10" s="128"/>
      <c r="L10" s="129"/>
      <c r="M10" s="134"/>
      <c r="N10" s="134"/>
      <c r="O10" s="134"/>
    </row>
    <row r="11" spans="2:15" ht="22" customHeight="1" x14ac:dyDescent="0.25">
      <c r="B11" s="127"/>
      <c r="C11" s="128"/>
      <c r="D11" s="128"/>
      <c r="E11" s="309" t="s">
        <v>207</v>
      </c>
      <c r="F11" s="310"/>
      <c r="G11" s="310"/>
      <c r="H11" s="310"/>
      <c r="I11" s="310"/>
      <c r="J11" s="310"/>
      <c r="K11" s="314"/>
      <c r="L11" s="135" t="s">
        <v>123</v>
      </c>
      <c r="M11" s="213">
        <v>2</v>
      </c>
      <c r="N11" s="136">
        <f>0</f>
        <v>0</v>
      </c>
      <c r="O11" s="136">
        <f>M11*2000</f>
        <v>4000</v>
      </c>
    </row>
    <row r="12" spans="2:15" ht="22" customHeight="1" x14ac:dyDescent="0.25">
      <c r="B12" s="127"/>
      <c r="C12" s="128"/>
      <c r="D12" s="128"/>
      <c r="E12" s="309" t="s">
        <v>208</v>
      </c>
      <c r="F12" s="310"/>
      <c r="G12" s="310"/>
      <c r="H12" s="310"/>
      <c r="I12" s="310"/>
      <c r="J12" s="310"/>
      <c r="K12" s="314"/>
      <c r="L12" s="135" t="s">
        <v>123</v>
      </c>
      <c r="M12" s="213">
        <v>2</v>
      </c>
      <c r="N12" s="136">
        <f>0</f>
        <v>0</v>
      </c>
      <c r="O12" s="136">
        <f>M12*1000</f>
        <v>2000</v>
      </c>
    </row>
    <row r="13" spans="2:15" ht="22" customHeight="1" x14ac:dyDescent="0.25">
      <c r="B13" s="127"/>
      <c r="C13" s="128"/>
      <c r="D13" s="128"/>
      <c r="E13" s="309" t="s">
        <v>209</v>
      </c>
      <c r="F13" s="310"/>
      <c r="G13" s="310"/>
      <c r="H13" s="310"/>
      <c r="I13" s="310"/>
      <c r="J13" s="310"/>
      <c r="K13" s="314"/>
      <c r="L13" s="135" t="s">
        <v>123</v>
      </c>
      <c r="M13" s="213">
        <v>1</v>
      </c>
      <c r="N13" s="136">
        <f>0</f>
        <v>0</v>
      </c>
      <c r="O13" s="136">
        <f>M13*1200</f>
        <v>1200</v>
      </c>
    </row>
    <row r="14" spans="2:15" ht="22" customHeight="1" x14ac:dyDescent="0.25">
      <c r="B14" s="127"/>
      <c r="C14" s="128"/>
      <c r="D14" s="128"/>
      <c r="E14" s="309" t="s">
        <v>210</v>
      </c>
      <c r="F14" s="310"/>
      <c r="G14" s="310"/>
      <c r="H14" s="310"/>
      <c r="I14" s="310"/>
      <c r="J14" s="310"/>
      <c r="K14" s="314"/>
      <c r="L14" s="135" t="s">
        <v>123</v>
      </c>
      <c r="M14" s="213">
        <v>1</v>
      </c>
      <c r="N14" s="136">
        <f>0</f>
        <v>0</v>
      </c>
      <c r="O14" s="136">
        <f>M14*500</f>
        <v>500</v>
      </c>
    </row>
    <row r="15" spans="2:15" ht="22" customHeight="1" x14ac:dyDescent="0.25">
      <c r="B15" s="127"/>
      <c r="C15" s="128"/>
      <c r="D15" s="128"/>
      <c r="E15" s="309" t="s">
        <v>211</v>
      </c>
      <c r="F15" s="310"/>
      <c r="G15" s="310"/>
      <c r="H15" s="310"/>
      <c r="I15" s="310"/>
      <c r="J15" s="310"/>
      <c r="K15" s="314"/>
      <c r="L15" s="135" t="s">
        <v>123</v>
      </c>
      <c r="M15" s="213">
        <f>0</f>
        <v>0</v>
      </c>
      <c r="N15" s="136">
        <f>0</f>
        <v>0</v>
      </c>
      <c r="O15" s="136">
        <f>M15*11000</f>
        <v>0</v>
      </c>
    </row>
    <row r="16" spans="2:15" ht="32" customHeight="1" x14ac:dyDescent="0.25">
      <c r="B16" s="127"/>
      <c r="C16" s="128"/>
      <c r="D16" s="128"/>
      <c r="E16" s="309" t="s">
        <v>212</v>
      </c>
      <c r="F16" s="310"/>
      <c r="G16" s="310"/>
      <c r="H16" s="310"/>
      <c r="I16" s="310"/>
      <c r="J16" s="310"/>
      <c r="K16" s="314"/>
      <c r="L16" s="135" t="s">
        <v>123</v>
      </c>
      <c r="M16" s="214">
        <v>1</v>
      </c>
      <c r="N16" s="137">
        <f>0</f>
        <v>0</v>
      </c>
      <c r="O16" s="136">
        <f>1500</f>
        <v>1500</v>
      </c>
    </row>
    <row r="17" spans="2:15" ht="19" customHeight="1" x14ac:dyDescent="0.25">
      <c r="B17" s="127"/>
      <c r="C17" s="128"/>
      <c r="D17" s="128"/>
      <c r="E17" s="196"/>
      <c r="F17" s="196"/>
      <c r="G17" s="196"/>
      <c r="H17" s="196"/>
      <c r="I17" s="196"/>
      <c r="J17" s="196"/>
      <c r="K17" s="196"/>
      <c r="L17" s="129"/>
      <c r="M17" s="215"/>
      <c r="N17" s="134"/>
      <c r="O17" s="134"/>
    </row>
    <row r="18" spans="2:15" ht="13" x14ac:dyDescent="0.3">
      <c r="B18" s="127"/>
      <c r="C18" s="315" t="s">
        <v>228</v>
      </c>
      <c r="D18" s="316"/>
      <c r="E18" s="316"/>
      <c r="F18" s="316"/>
      <c r="G18" s="316"/>
      <c r="H18" s="316"/>
      <c r="I18" s="317"/>
      <c r="J18" s="128"/>
      <c r="K18" s="128"/>
      <c r="L18" s="129"/>
      <c r="M18" s="134"/>
      <c r="N18" s="134"/>
      <c r="O18" s="134"/>
    </row>
    <row r="19" spans="2:15" ht="42" customHeight="1" x14ac:dyDescent="0.25">
      <c r="B19" s="127"/>
      <c r="C19" s="128"/>
      <c r="D19" s="128"/>
      <c r="E19" s="309" t="s">
        <v>214</v>
      </c>
      <c r="F19" s="310"/>
      <c r="G19" s="310"/>
      <c r="H19" s="310"/>
      <c r="I19" s="310"/>
      <c r="J19" s="310"/>
      <c r="K19" s="314"/>
      <c r="L19" s="135" t="s">
        <v>123</v>
      </c>
      <c r="M19" s="136">
        <v>2</v>
      </c>
      <c r="N19" s="136">
        <f>0</f>
        <v>0</v>
      </c>
      <c r="O19" s="136">
        <f>M19*7500</f>
        <v>15000</v>
      </c>
    </row>
    <row r="20" spans="2:15" ht="25" customHeight="1" x14ac:dyDescent="0.25">
      <c r="B20" s="127"/>
      <c r="C20" s="128"/>
      <c r="D20" s="128"/>
      <c r="E20" s="309" t="s">
        <v>215</v>
      </c>
      <c r="F20" s="310"/>
      <c r="G20" s="310"/>
      <c r="H20" s="310"/>
      <c r="I20" s="310"/>
      <c r="J20" s="310"/>
      <c r="K20" s="314"/>
      <c r="L20" s="135" t="s">
        <v>123</v>
      </c>
      <c r="M20" s="136">
        <v>1</v>
      </c>
      <c r="N20" s="136">
        <f>0</f>
        <v>0</v>
      </c>
      <c r="O20" s="136">
        <f>M20*10000</f>
        <v>10000</v>
      </c>
    </row>
    <row r="21" spans="2:15" ht="18" customHeight="1" x14ac:dyDescent="0.25">
      <c r="B21" s="127"/>
      <c r="C21" s="128"/>
      <c r="D21" s="128"/>
      <c r="E21" s="197"/>
      <c r="F21" s="197"/>
      <c r="G21" s="197"/>
      <c r="H21" s="197"/>
      <c r="I21" s="197"/>
      <c r="J21" s="196"/>
      <c r="K21" s="196"/>
      <c r="L21" s="129"/>
      <c r="M21" s="134"/>
      <c r="N21" s="134"/>
      <c r="O21" s="134"/>
    </row>
    <row r="22" spans="2:15" ht="15.5" x14ac:dyDescent="0.25">
      <c r="B22" s="138" t="s">
        <v>125</v>
      </c>
      <c r="C22" s="122"/>
      <c r="D22" s="122"/>
      <c r="E22" s="122"/>
      <c r="F22" s="122"/>
      <c r="G22" s="122"/>
      <c r="H22" s="122"/>
      <c r="I22" s="123"/>
      <c r="J22" s="128"/>
      <c r="K22" s="128"/>
      <c r="L22" s="129"/>
      <c r="M22" s="134"/>
      <c r="N22" s="134"/>
      <c r="O22" s="134"/>
    </row>
    <row r="23" spans="2:15" x14ac:dyDescent="0.25">
      <c r="B23" s="127"/>
      <c r="C23" s="128"/>
      <c r="D23" s="128"/>
      <c r="E23" s="128"/>
      <c r="F23" s="128"/>
      <c r="G23" s="128"/>
      <c r="H23" s="128"/>
      <c r="I23" s="128"/>
      <c r="J23" s="128"/>
      <c r="K23" s="128"/>
      <c r="L23" s="129"/>
      <c r="M23" s="134"/>
      <c r="N23" s="134"/>
      <c r="O23" s="134"/>
    </row>
    <row r="24" spans="2:15" ht="13" x14ac:dyDescent="0.3">
      <c r="B24" s="127"/>
      <c r="C24" s="130" t="s">
        <v>234</v>
      </c>
      <c r="D24" s="131"/>
      <c r="E24" s="131"/>
      <c r="F24" s="132"/>
      <c r="G24" s="132"/>
      <c r="H24" s="132"/>
      <c r="I24" s="133"/>
      <c r="J24" s="128"/>
      <c r="K24" s="128"/>
      <c r="L24" s="129"/>
      <c r="M24" s="134"/>
      <c r="N24" s="134"/>
      <c r="O24" s="134"/>
    </row>
    <row r="25" spans="2:15" ht="19" customHeight="1" x14ac:dyDescent="0.25">
      <c r="B25" s="127"/>
      <c r="C25" s="128"/>
      <c r="D25" s="128"/>
      <c r="E25" s="309" t="s">
        <v>221</v>
      </c>
      <c r="F25" s="310"/>
      <c r="G25" s="310"/>
      <c r="H25" s="310"/>
      <c r="I25" s="310"/>
      <c r="J25" s="310"/>
      <c r="K25" s="310"/>
      <c r="L25" s="135" t="s">
        <v>123</v>
      </c>
      <c r="M25" s="213">
        <f>PPB!D37</f>
        <v>10</v>
      </c>
      <c r="N25" s="136">
        <f>0</f>
        <v>0</v>
      </c>
      <c r="O25" s="213">
        <f>M25*(1406+1000)</f>
        <v>24060</v>
      </c>
    </row>
    <row r="26" spans="2:15" x14ac:dyDescent="0.25">
      <c r="B26" s="127"/>
      <c r="C26" s="128"/>
      <c r="D26" s="128"/>
      <c r="E26" s="128"/>
      <c r="F26" s="128"/>
      <c r="G26" s="128"/>
      <c r="H26" s="128"/>
      <c r="I26" s="128"/>
      <c r="J26" s="128"/>
      <c r="K26" s="128"/>
      <c r="L26" s="129"/>
      <c r="M26" s="134"/>
      <c r="N26" s="134"/>
      <c r="O26" s="134"/>
    </row>
    <row r="27" spans="2:15" ht="13" x14ac:dyDescent="0.3">
      <c r="B27" s="127"/>
      <c r="C27" s="130" t="s">
        <v>127</v>
      </c>
      <c r="D27" s="131"/>
      <c r="E27" s="132"/>
      <c r="F27" s="132"/>
      <c r="G27" s="132"/>
      <c r="H27" s="132"/>
      <c r="I27" s="133"/>
      <c r="J27" s="128"/>
      <c r="K27" s="128"/>
      <c r="L27" s="129"/>
      <c r="M27" s="134"/>
      <c r="N27" s="134"/>
      <c r="O27" s="134"/>
    </row>
    <row r="28" spans="2:15" ht="28" customHeight="1" x14ac:dyDescent="0.25">
      <c r="B28" s="127"/>
      <c r="C28" s="128"/>
      <c r="D28" s="128"/>
      <c r="E28" s="309" t="s">
        <v>235</v>
      </c>
      <c r="F28" s="310"/>
      <c r="G28" s="310"/>
      <c r="H28" s="310"/>
      <c r="I28" s="310"/>
      <c r="J28" s="310"/>
      <c r="K28" s="314"/>
      <c r="L28" s="135" t="s">
        <v>123</v>
      </c>
      <c r="M28" s="136">
        <v>1</v>
      </c>
      <c r="N28" s="136">
        <f>0</f>
        <v>0</v>
      </c>
      <c r="O28" s="136">
        <f>45000</f>
        <v>45000</v>
      </c>
    </row>
    <row r="29" spans="2:15" x14ac:dyDescent="0.25">
      <c r="B29" s="127"/>
      <c r="C29" s="128"/>
      <c r="D29" s="128"/>
      <c r="E29" s="128"/>
      <c r="F29" s="128"/>
      <c r="G29" s="128"/>
      <c r="H29" s="128"/>
      <c r="I29" s="128"/>
      <c r="J29" s="128"/>
      <c r="K29" s="128"/>
      <c r="L29" s="129"/>
      <c r="M29" s="134"/>
      <c r="N29" s="134"/>
      <c r="O29" s="134"/>
    </row>
    <row r="30" spans="2:15" ht="13" x14ac:dyDescent="0.3">
      <c r="B30" s="127"/>
      <c r="C30" s="130" t="s">
        <v>128</v>
      </c>
      <c r="D30" s="131"/>
      <c r="E30" s="132"/>
      <c r="F30" s="132"/>
      <c r="G30" s="132"/>
      <c r="H30" s="132"/>
      <c r="I30" s="133"/>
      <c r="J30" s="128"/>
      <c r="K30" s="128"/>
      <c r="L30" s="129"/>
      <c r="M30" s="134"/>
      <c r="N30" s="134"/>
      <c r="O30" s="134"/>
    </row>
    <row r="31" spans="2:15" ht="29.25" customHeight="1" x14ac:dyDescent="0.25">
      <c r="B31" s="127"/>
      <c r="C31" s="128"/>
      <c r="D31" s="128"/>
      <c r="E31" s="309" t="s">
        <v>222</v>
      </c>
      <c r="F31" s="310"/>
      <c r="G31" s="310"/>
      <c r="H31" s="310"/>
      <c r="I31" s="310"/>
      <c r="J31" s="310"/>
      <c r="K31" s="314"/>
      <c r="L31" s="135" t="s">
        <v>123</v>
      </c>
      <c r="M31" s="213">
        <v>0</v>
      </c>
      <c r="N31" s="136">
        <f>0</f>
        <v>0</v>
      </c>
      <c r="O31" s="213">
        <f>1500*M31</f>
        <v>0</v>
      </c>
    </row>
    <row r="32" spans="2:15" x14ac:dyDescent="0.25">
      <c r="B32" s="127"/>
      <c r="C32" s="128"/>
      <c r="D32" s="128"/>
      <c r="E32" s="128"/>
      <c r="F32" s="128"/>
      <c r="G32" s="128"/>
      <c r="H32" s="128"/>
      <c r="I32" s="128"/>
      <c r="J32" s="128"/>
      <c r="K32" s="128"/>
      <c r="L32" s="129"/>
      <c r="M32" s="134"/>
      <c r="N32" s="134"/>
      <c r="O32" s="134"/>
    </row>
    <row r="33" spans="2:15" x14ac:dyDescent="0.25">
      <c r="B33" s="127"/>
      <c r="C33" s="128"/>
      <c r="D33" s="128"/>
      <c r="E33" s="128"/>
      <c r="F33" s="128"/>
      <c r="G33" s="128"/>
      <c r="H33" s="128"/>
      <c r="I33" s="128"/>
      <c r="J33" s="128"/>
      <c r="K33" s="128"/>
      <c r="L33" s="129"/>
      <c r="M33" s="134"/>
      <c r="N33" s="134"/>
      <c r="O33" s="134"/>
    </row>
    <row r="34" spans="2:15" ht="13" x14ac:dyDescent="0.3">
      <c r="B34" s="127"/>
      <c r="C34" s="130" t="s">
        <v>233</v>
      </c>
      <c r="D34" s="131"/>
      <c r="E34" s="131"/>
      <c r="F34" s="131"/>
      <c r="G34" s="131"/>
      <c r="H34" s="131"/>
      <c r="I34" s="141"/>
      <c r="J34" s="140"/>
      <c r="K34" s="140"/>
      <c r="L34" s="142"/>
      <c r="M34" s="143"/>
      <c r="N34" s="143"/>
      <c r="O34" s="143"/>
    </row>
    <row r="35" spans="2:15" ht="29" customHeight="1" x14ac:dyDescent="0.25">
      <c r="B35" s="127"/>
      <c r="C35" s="128"/>
      <c r="D35" s="128"/>
      <c r="E35" s="327" t="s">
        <v>218</v>
      </c>
      <c r="F35" s="328"/>
      <c r="G35" s="328"/>
      <c r="H35" s="328"/>
      <c r="I35" s="328"/>
      <c r="J35" s="328"/>
      <c r="K35" s="329"/>
      <c r="L35" s="135" t="s">
        <v>123</v>
      </c>
      <c r="M35" s="136">
        <v>0</v>
      </c>
      <c r="N35" s="136">
        <f>0</f>
        <v>0</v>
      </c>
      <c r="O35" s="136">
        <f>M35*1000</f>
        <v>0</v>
      </c>
    </row>
    <row r="36" spans="2:15" ht="23" customHeight="1" x14ac:dyDescent="0.25">
      <c r="B36" s="127"/>
      <c r="C36" s="128"/>
      <c r="D36" s="128"/>
      <c r="E36" s="330" t="s">
        <v>219</v>
      </c>
      <c r="F36" s="331"/>
      <c r="G36" s="331"/>
      <c r="H36" s="331"/>
      <c r="I36" s="331"/>
      <c r="J36" s="331"/>
      <c r="K36" s="332"/>
      <c r="L36" s="135" t="s">
        <v>123</v>
      </c>
      <c r="M36" s="137">
        <v>4</v>
      </c>
      <c r="N36" s="136">
        <f>0</f>
        <v>0</v>
      </c>
      <c r="O36" s="136">
        <f>M36*2000</f>
        <v>8000</v>
      </c>
    </row>
    <row r="37" spans="2:15" ht="33" customHeight="1" x14ac:dyDescent="0.25">
      <c r="B37" s="127"/>
      <c r="C37" s="128"/>
      <c r="D37" s="128"/>
      <c r="E37" s="309" t="s">
        <v>220</v>
      </c>
      <c r="F37" s="310"/>
      <c r="G37" s="310"/>
      <c r="H37" s="310"/>
      <c r="I37" s="310"/>
      <c r="J37" s="310"/>
      <c r="K37" s="310"/>
      <c r="L37" s="135" t="s">
        <v>123</v>
      </c>
      <c r="M37" s="136">
        <v>35</v>
      </c>
      <c r="N37" s="136">
        <f>0</f>
        <v>0</v>
      </c>
      <c r="O37" s="136">
        <f>M37*500</f>
        <v>17500</v>
      </c>
    </row>
    <row r="38" spans="2:15" x14ac:dyDescent="0.25">
      <c r="B38" s="127"/>
      <c r="C38" s="128"/>
      <c r="D38" s="128"/>
      <c r="E38" s="128"/>
      <c r="F38" s="128"/>
      <c r="G38" s="128"/>
      <c r="H38" s="128"/>
      <c r="I38" s="128"/>
      <c r="J38" s="128"/>
      <c r="K38" s="128"/>
      <c r="L38" s="129"/>
      <c r="M38" s="134"/>
      <c r="N38" s="134"/>
      <c r="O38" s="134"/>
    </row>
    <row r="39" spans="2:15" ht="15.5" x14ac:dyDescent="0.25">
      <c r="B39" s="138" t="s">
        <v>129</v>
      </c>
      <c r="C39" s="122"/>
      <c r="D39" s="122"/>
      <c r="E39" s="122"/>
      <c r="F39" s="122"/>
      <c r="G39" s="122"/>
      <c r="H39" s="122"/>
      <c r="I39" s="123"/>
      <c r="J39" s="128"/>
      <c r="K39" s="128"/>
      <c r="L39" s="129"/>
      <c r="M39" s="134"/>
      <c r="N39" s="134"/>
      <c r="O39" s="134"/>
    </row>
    <row r="40" spans="2:15" x14ac:dyDescent="0.25">
      <c r="B40" s="127"/>
      <c r="C40" s="128"/>
      <c r="D40" s="128"/>
      <c r="E40" s="128"/>
      <c r="F40" s="128"/>
      <c r="G40" s="128"/>
      <c r="H40" s="128"/>
      <c r="I40" s="128"/>
      <c r="J40" s="128"/>
      <c r="K40" s="128"/>
      <c r="L40" s="129"/>
      <c r="M40" s="134"/>
      <c r="N40" s="134"/>
      <c r="O40" s="134"/>
    </row>
    <row r="41" spans="2:15" ht="13" x14ac:dyDescent="0.3">
      <c r="B41" s="127"/>
      <c r="C41" s="130" t="s">
        <v>223</v>
      </c>
      <c r="D41" s="131"/>
      <c r="E41" s="132"/>
      <c r="F41" s="132"/>
      <c r="G41" s="132"/>
      <c r="H41" s="132"/>
      <c r="I41" s="133"/>
      <c r="J41" s="128"/>
      <c r="K41" s="128"/>
      <c r="L41" s="129"/>
      <c r="M41" s="134"/>
      <c r="N41" s="134"/>
      <c r="O41" s="134"/>
    </row>
    <row r="42" spans="2:15" ht="30" customHeight="1" x14ac:dyDescent="0.25">
      <c r="B42" s="127"/>
      <c r="C42" s="128"/>
      <c r="D42" s="128"/>
      <c r="E42" s="309" t="s">
        <v>224</v>
      </c>
      <c r="F42" s="310"/>
      <c r="G42" s="310"/>
      <c r="H42" s="310"/>
      <c r="I42" s="310"/>
      <c r="J42" s="310"/>
      <c r="K42" s="310"/>
      <c r="L42" s="135" t="s">
        <v>123</v>
      </c>
      <c r="M42" s="213">
        <v>2</v>
      </c>
      <c r="N42" s="136">
        <f>0</f>
        <v>0</v>
      </c>
      <c r="O42" s="213">
        <f>M42*((4*400*4)+(1400))</f>
        <v>15600</v>
      </c>
    </row>
    <row r="43" spans="2:15" ht="40" customHeight="1" x14ac:dyDescent="0.25">
      <c r="B43" s="127"/>
      <c r="C43" s="128"/>
      <c r="D43" s="128"/>
      <c r="E43" s="309" t="s">
        <v>225</v>
      </c>
      <c r="F43" s="310"/>
      <c r="G43" s="310"/>
      <c r="H43" s="310"/>
      <c r="I43" s="310"/>
      <c r="J43" s="310"/>
      <c r="K43" s="310"/>
      <c r="L43" s="135" t="s">
        <v>123</v>
      </c>
      <c r="M43" s="213">
        <v>3</v>
      </c>
      <c r="N43" s="136">
        <f>0</f>
        <v>0</v>
      </c>
      <c r="O43" s="213">
        <f>3*((2*400*8)+(1400))</f>
        <v>23400</v>
      </c>
    </row>
    <row r="44" spans="2:15" ht="19" customHeight="1" x14ac:dyDescent="0.25">
      <c r="B44" s="127"/>
      <c r="C44" s="128"/>
      <c r="D44" s="128"/>
      <c r="E44" s="208"/>
      <c r="F44" s="208"/>
      <c r="G44" s="208"/>
      <c r="H44" s="208"/>
      <c r="I44" s="208"/>
      <c r="J44" s="208"/>
      <c r="K44" s="208"/>
      <c r="L44" s="129"/>
      <c r="M44" s="215"/>
      <c r="N44" s="134"/>
      <c r="O44" s="134"/>
    </row>
    <row r="45" spans="2:15" ht="13" x14ac:dyDescent="0.3">
      <c r="B45" s="127"/>
      <c r="C45" s="130" t="s">
        <v>227</v>
      </c>
      <c r="D45" s="131"/>
      <c r="E45" s="132"/>
      <c r="F45" s="132"/>
      <c r="G45" s="132"/>
      <c r="H45" s="132"/>
      <c r="I45" s="133"/>
      <c r="J45" s="128"/>
      <c r="K45" s="128"/>
      <c r="L45" s="129"/>
      <c r="M45" s="134"/>
      <c r="N45" s="134"/>
      <c r="O45" s="134"/>
    </row>
    <row r="46" spans="2:15" s="219" customFormat="1" ht="31" customHeight="1" x14ac:dyDescent="0.25">
      <c r="B46" s="217"/>
      <c r="C46" s="218"/>
      <c r="D46" s="218"/>
      <c r="E46" s="322" t="s">
        <v>310</v>
      </c>
      <c r="F46" s="322"/>
      <c r="G46" s="322"/>
      <c r="H46" s="322"/>
      <c r="I46" s="322"/>
      <c r="J46" s="322"/>
      <c r="K46" s="322"/>
      <c r="L46" s="135" t="s">
        <v>123</v>
      </c>
      <c r="M46" s="213">
        <v>1</v>
      </c>
      <c r="N46" s="213"/>
      <c r="O46" s="213">
        <f>M46*160000</f>
        <v>160000</v>
      </c>
    </row>
    <row r="47" spans="2:15" s="219" customFormat="1" ht="31" customHeight="1" x14ac:dyDescent="0.25">
      <c r="B47" s="217"/>
      <c r="C47" s="218"/>
      <c r="D47" s="218"/>
      <c r="E47" s="309" t="s">
        <v>309</v>
      </c>
      <c r="F47" s="310"/>
      <c r="G47" s="310"/>
      <c r="H47" s="310"/>
      <c r="I47" s="310"/>
      <c r="J47" s="310"/>
      <c r="K47" s="314"/>
      <c r="L47" s="135" t="s">
        <v>123</v>
      </c>
      <c r="M47" s="213">
        <f>2</f>
        <v>2</v>
      </c>
      <c r="N47" s="213">
        <f>0</f>
        <v>0</v>
      </c>
      <c r="O47" s="213">
        <f>M47*90000</f>
        <v>180000</v>
      </c>
    </row>
    <row r="48" spans="2:15" s="219" customFormat="1" ht="31" customHeight="1" x14ac:dyDescent="0.25">
      <c r="B48" s="217"/>
      <c r="C48" s="218"/>
      <c r="D48" s="218"/>
      <c r="E48" s="309" t="s">
        <v>316</v>
      </c>
      <c r="F48" s="310"/>
      <c r="G48" s="310"/>
      <c r="H48" s="310"/>
      <c r="I48" s="310"/>
      <c r="J48" s="310"/>
      <c r="K48" s="314"/>
      <c r="L48" s="135" t="s">
        <v>123</v>
      </c>
      <c r="M48" s="213">
        <v>8</v>
      </c>
      <c r="N48" s="213">
        <f>0</f>
        <v>0</v>
      </c>
      <c r="O48" s="213">
        <f>M48*25000</f>
        <v>200000</v>
      </c>
    </row>
    <row r="49" spans="2:15" s="219" customFormat="1" ht="31" customHeight="1" x14ac:dyDescent="0.25">
      <c r="B49" s="217"/>
      <c r="C49" s="218"/>
      <c r="D49" s="218"/>
      <c r="E49" s="322" t="s">
        <v>299</v>
      </c>
      <c r="F49" s="322"/>
      <c r="G49" s="322"/>
      <c r="H49" s="322"/>
      <c r="I49" s="322"/>
      <c r="J49" s="322"/>
      <c r="K49" s="322"/>
      <c r="L49" s="135" t="s">
        <v>123</v>
      </c>
      <c r="M49" s="213">
        <f>14+17</f>
        <v>31</v>
      </c>
      <c r="N49" s="136">
        <f>0</f>
        <v>0</v>
      </c>
      <c r="O49" s="213">
        <f>20000*M49</f>
        <v>620000</v>
      </c>
    </row>
    <row r="50" spans="2:15" s="219" customFormat="1" ht="31" customHeight="1" x14ac:dyDescent="0.25">
      <c r="B50" s="217"/>
      <c r="C50" s="218"/>
      <c r="D50" s="218"/>
      <c r="E50" s="322" t="s">
        <v>232</v>
      </c>
      <c r="F50" s="322"/>
      <c r="G50" s="322"/>
      <c r="H50" s="322"/>
      <c r="I50" s="322"/>
      <c r="J50" s="322"/>
      <c r="K50" s="322"/>
      <c r="L50" s="135" t="s">
        <v>123</v>
      </c>
      <c r="M50" s="213">
        <v>1</v>
      </c>
      <c r="N50" s="136">
        <f>0</f>
        <v>0</v>
      </c>
      <c r="O50" s="213">
        <f>260000</f>
        <v>260000</v>
      </c>
    </row>
    <row r="51" spans="2:15" s="219" customFormat="1" ht="31" customHeight="1" x14ac:dyDescent="0.25">
      <c r="B51" s="217"/>
      <c r="C51" s="218"/>
      <c r="D51" s="218"/>
      <c r="E51" s="322" t="s">
        <v>226</v>
      </c>
      <c r="F51" s="322"/>
      <c r="G51" s="322"/>
      <c r="H51" s="322"/>
      <c r="I51" s="322"/>
      <c r="J51" s="322"/>
      <c r="K51" s="322"/>
      <c r="L51" s="135" t="s">
        <v>123</v>
      </c>
      <c r="M51" s="213">
        <v>6</v>
      </c>
      <c r="N51" s="136">
        <f>0</f>
        <v>0</v>
      </c>
      <c r="O51" s="213">
        <f>M51*4000</f>
        <v>24000</v>
      </c>
    </row>
    <row r="52" spans="2:15" s="219" customFormat="1" ht="18" customHeight="1" x14ac:dyDescent="0.25">
      <c r="B52" s="217"/>
      <c r="C52" s="218"/>
      <c r="D52" s="218"/>
      <c r="E52" s="208"/>
      <c r="F52" s="208"/>
      <c r="G52" s="208"/>
      <c r="H52" s="208"/>
      <c r="I52" s="208"/>
      <c r="J52" s="208"/>
      <c r="K52" s="208"/>
      <c r="L52" s="129"/>
      <c r="M52" s="215"/>
      <c r="N52" s="215"/>
      <c r="O52" s="215"/>
    </row>
    <row r="53" spans="2:15" ht="13" x14ac:dyDescent="0.3">
      <c r="B53" s="127"/>
      <c r="C53" s="315" t="s">
        <v>130</v>
      </c>
      <c r="D53" s="316"/>
      <c r="E53" s="316"/>
      <c r="F53" s="316"/>
      <c r="G53" s="316"/>
      <c r="H53" s="316"/>
      <c r="I53" s="317"/>
      <c r="J53" s="128"/>
      <c r="K53" s="128"/>
      <c r="L53" s="129"/>
      <c r="M53" s="215"/>
      <c r="N53" s="215"/>
      <c r="O53" s="215"/>
    </row>
    <row r="54" spans="2:15" ht="31" customHeight="1" x14ac:dyDescent="0.25">
      <c r="B54" s="127"/>
      <c r="C54" s="128"/>
      <c r="D54" s="128"/>
      <c r="E54" s="309" t="s">
        <v>231</v>
      </c>
      <c r="F54" s="310"/>
      <c r="G54" s="310"/>
      <c r="H54" s="310"/>
      <c r="I54" s="310"/>
      <c r="J54" s="310"/>
      <c r="K54" s="310"/>
      <c r="L54" s="135" t="s">
        <v>123</v>
      </c>
      <c r="M54" s="213">
        <f>0</f>
        <v>0</v>
      </c>
      <c r="N54" s="213">
        <f>0</f>
        <v>0</v>
      </c>
      <c r="O54" s="213">
        <f>15000*M54</f>
        <v>0</v>
      </c>
    </row>
    <row r="55" spans="2:15" ht="22" customHeight="1" x14ac:dyDescent="0.25">
      <c r="B55" s="127"/>
      <c r="C55" s="128"/>
      <c r="D55" s="128"/>
      <c r="E55" s="209"/>
      <c r="F55" s="209"/>
      <c r="G55" s="209"/>
      <c r="H55" s="209"/>
      <c r="I55" s="209"/>
      <c r="J55" s="208"/>
      <c r="K55" s="208"/>
      <c r="L55" s="129"/>
      <c r="M55" s="215"/>
      <c r="N55" s="134"/>
      <c r="O55" s="134"/>
    </row>
    <row r="56" spans="2:15" ht="15.5" x14ac:dyDescent="0.25">
      <c r="B56" s="318" t="s">
        <v>229</v>
      </c>
      <c r="C56" s="319"/>
      <c r="D56" s="319"/>
      <c r="E56" s="320"/>
      <c r="F56" s="320"/>
      <c r="G56" s="320"/>
      <c r="H56" s="320"/>
      <c r="I56" s="321"/>
      <c r="J56" s="128"/>
      <c r="K56" s="128"/>
      <c r="L56" s="129"/>
      <c r="M56" s="134"/>
      <c r="N56" s="134"/>
      <c r="O56" s="134"/>
    </row>
    <row r="57" spans="2:15" ht="18" customHeight="1" x14ac:dyDescent="0.25">
      <c r="B57" s="127"/>
      <c r="C57" s="128"/>
      <c r="D57" s="128"/>
      <c r="E57" s="128"/>
      <c r="F57" s="128"/>
      <c r="G57" s="128"/>
      <c r="H57" s="128"/>
      <c r="I57" s="128"/>
      <c r="J57" s="128"/>
      <c r="K57" s="128"/>
      <c r="L57" s="129"/>
      <c r="M57" s="215"/>
      <c r="N57" s="215"/>
      <c r="O57" s="215"/>
    </row>
    <row r="58" spans="2:15" ht="13" x14ac:dyDescent="0.3">
      <c r="B58" s="127"/>
      <c r="C58" s="130" t="s">
        <v>230</v>
      </c>
      <c r="D58" s="131"/>
      <c r="E58" s="132"/>
      <c r="F58" s="132"/>
      <c r="G58" s="132"/>
      <c r="H58" s="132"/>
      <c r="I58" s="133"/>
      <c r="J58" s="128"/>
      <c r="K58" s="128"/>
      <c r="L58" s="129"/>
      <c r="M58" s="215"/>
      <c r="N58" s="215"/>
      <c r="O58" s="215"/>
    </row>
    <row r="59" spans="2:15" ht="43" customHeight="1" x14ac:dyDescent="0.25">
      <c r="B59" s="127"/>
      <c r="C59" s="128"/>
      <c r="D59" s="128"/>
      <c r="E59" s="309" t="s">
        <v>305</v>
      </c>
      <c r="F59" s="310"/>
      <c r="G59" s="310"/>
      <c r="H59" s="310"/>
      <c r="I59" s="310"/>
      <c r="J59" s="310"/>
      <c r="K59" s="310"/>
      <c r="L59" s="135" t="s">
        <v>123</v>
      </c>
      <c r="M59" s="213">
        <v>1</v>
      </c>
      <c r="N59" s="213">
        <f>0</f>
        <v>0</v>
      </c>
      <c r="O59" s="213">
        <f>35000</f>
        <v>35000</v>
      </c>
    </row>
    <row r="60" spans="2:15" x14ac:dyDescent="0.25">
      <c r="B60" s="127"/>
      <c r="C60" s="128"/>
      <c r="D60" s="128"/>
      <c r="E60" s="128"/>
      <c r="F60" s="128"/>
      <c r="G60" s="128"/>
      <c r="H60" s="128"/>
      <c r="I60" s="128"/>
      <c r="J60" s="128"/>
      <c r="K60" s="128"/>
      <c r="L60" s="129"/>
      <c r="M60" s="134"/>
      <c r="N60" s="134"/>
      <c r="O60" s="134"/>
    </row>
    <row r="61" spans="2:15" ht="13" x14ac:dyDescent="0.3">
      <c r="B61" s="127"/>
      <c r="C61" s="128"/>
      <c r="D61" s="128"/>
      <c r="E61" s="128"/>
      <c r="F61" s="128"/>
      <c r="G61" s="128"/>
      <c r="H61" s="128"/>
      <c r="I61" s="128"/>
      <c r="J61" s="144" t="s">
        <v>131</v>
      </c>
      <c r="K61" s="145"/>
      <c r="L61" s="146"/>
      <c r="M61" s="146">
        <f>SUM(M6:M59)</f>
        <v>119</v>
      </c>
      <c r="N61" s="147">
        <f>SUM(N6:N59)</f>
        <v>60000</v>
      </c>
      <c r="O61" s="147">
        <f>SUM(O6:O59)</f>
        <v>1784792</v>
      </c>
    </row>
    <row r="62" spans="2:15" x14ac:dyDescent="0.25">
      <c r="B62" s="127"/>
      <c r="C62" s="128"/>
      <c r="D62" s="128"/>
      <c r="E62" s="128"/>
      <c r="F62" s="128"/>
      <c r="G62" s="128"/>
      <c r="H62" s="128"/>
      <c r="I62" s="128"/>
      <c r="J62" s="128"/>
      <c r="K62" s="128"/>
      <c r="L62" s="129"/>
      <c r="M62" s="134"/>
      <c r="N62" s="134"/>
      <c r="O62" s="134"/>
    </row>
    <row r="63" spans="2:15" ht="13" x14ac:dyDescent="0.3">
      <c r="B63" s="139"/>
      <c r="C63" s="140"/>
      <c r="D63" s="140"/>
      <c r="E63" s="140"/>
      <c r="F63" s="140"/>
      <c r="G63" s="140"/>
      <c r="H63" s="140"/>
      <c r="I63" s="140"/>
      <c r="J63" s="144" t="s">
        <v>132</v>
      </c>
      <c r="K63" s="145"/>
      <c r="L63" s="148"/>
      <c r="M63" s="146">
        <f>M61-M59-M28-M8</f>
        <v>116</v>
      </c>
      <c r="N63" s="147">
        <f>N61-N59-N28-N8</f>
        <v>60000</v>
      </c>
      <c r="O63" s="147">
        <f>O61-O59-O28-O8</f>
        <v>1686760</v>
      </c>
    </row>
    <row r="66" spans="15:15" x14ac:dyDescent="0.25">
      <c r="O66" s="191"/>
    </row>
  </sheetData>
  <mergeCells count="31">
    <mergeCell ref="B3:J3"/>
    <mergeCell ref="E54:K54"/>
    <mergeCell ref="E48:K48"/>
    <mergeCell ref="E8:K8"/>
    <mergeCell ref="E11:K11"/>
    <mergeCell ref="E15:K15"/>
    <mergeCell ref="E16:K16"/>
    <mergeCell ref="E37:K37"/>
    <mergeCell ref="E25:K25"/>
    <mergeCell ref="E42:K42"/>
    <mergeCell ref="E46:K46"/>
    <mergeCell ref="E47:K47"/>
    <mergeCell ref="E35:K35"/>
    <mergeCell ref="E6:K6"/>
    <mergeCell ref="E31:K31"/>
    <mergeCell ref="E36:K36"/>
    <mergeCell ref="E59:K59"/>
    <mergeCell ref="B56:I56"/>
    <mergeCell ref="C53:I53"/>
    <mergeCell ref="E49:K49"/>
    <mergeCell ref="E50:K50"/>
    <mergeCell ref="E51:K51"/>
    <mergeCell ref="E43:K43"/>
    <mergeCell ref="E7:K7"/>
    <mergeCell ref="E28:K28"/>
    <mergeCell ref="E13:K13"/>
    <mergeCell ref="E14:K14"/>
    <mergeCell ref="E19:K19"/>
    <mergeCell ref="C18:I18"/>
    <mergeCell ref="E20:K20"/>
    <mergeCell ref="E12:K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E0B9C-8374-914F-ABFD-FDA06C89A27D}">
  <dimension ref="C2:D64"/>
  <sheetViews>
    <sheetView workbookViewId="0">
      <selection activeCell="D8" sqref="D8:D9"/>
    </sheetView>
  </sheetViews>
  <sheetFormatPr defaultColWidth="10.90625" defaultRowHeight="12.5" x14ac:dyDescent="0.25"/>
  <cols>
    <col min="3" max="3" width="83.453125" customWidth="1"/>
  </cols>
  <sheetData>
    <row r="2" spans="3:4" ht="13" thickBot="1" x14ac:dyDescent="0.3"/>
    <row r="3" spans="3:4" ht="13" thickBot="1" x14ac:dyDescent="0.3">
      <c r="C3" s="198" t="s">
        <v>161</v>
      </c>
      <c r="D3" s="199" t="s">
        <v>162</v>
      </c>
    </row>
    <row r="4" spans="3:4" ht="13" thickTop="1" x14ac:dyDescent="0.25">
      <c r="C4" s="200"/>
      <c r="D4" s="201"/>
    </row>
    <row r="5" spans="3:4" ht="27" customHeight="1" x14ac:dyDescent="0.25">
      <c r="C5" s="216" t="s">
        <v>163</v>
      </c>
      <c r="D5" s="201"/>
    </row>
    <row r="6" spans="3:4" x14ac:dyDescent="0.25">
      <c r="C6" s="202"/>
      <c r="D6" s="201"/>
    </row>
    <row r="7" spans="3:4" ht="25" customHeight="1" x14ac:dyDescent="0.25">
      <c r="C7" s="210" t="s">
        <v>164</v>
      </c>
      <c r="D7" s="203"/>
    </row>
    <row r="8" spans="3:4" ht="25" customHeight="1" x14ac:dyDescent="0.25">
      <c r="C8" s="204" t="s">
        <v>165</v>
      </c>
      <c r="D8" s="262">
        <v>2</v>
      </c>
    </row>
    <row r="9" spans="3:4" ht="25" customHeight="1" x14ac:dyDescent="0.25">
      <c r="C9" s="204" t="s">
        <v>166</v>
      </c>
      <c r="D9" s="262">
        <v>2</v>
      </c>
    </row>
    <row r="10" spans="3:4" ht="25" customHeight="1" x14ac:dyDescent="0.25">
      <c r="C10" s="205"/>
      <c r="D10" s="203"/>
    </row>
    <row r="11" spans="3:4" ht="25" customHeight="1" x14ac:dyDescent="0.25">
      <c r="C11" s="200" t="s">
        <v>167</v>
      </c>
      <c r="D11" s="201"/>
    </row>
    <row r="12" spans="3:4" ht="25" customHeight="1" x14ac:dyDescent="0.25">
      <c r="C12" s="204" t="s">
        <v>168</v>
      </c>
      <c r="D12" s="262">
        <v>2</v>
      </c>
    </row>
    <row r="13" spans="3:4" ht="25" customHeight="1" x14ac:dyDescent="0.25">
      <c r="C13" s="204" t="s">
        <v>169</v>
      </c>
      <c r="D13" s="262">
        <v>2</v>
      </c>
    </row>
    <row r="14" spans="3:4" ht="25" customHeight="1" x14ac:dyDescent="0.25">
      <c r="C14" s="204" t="s">
        <v>170</v>
      </c>
      <c r="D14" s="262">
        <v>2</v>
      </c>
    </row>
    <row r="15" spans="3:4" ht="25" customHeight="1" x14ac:dyDescent="0.25">
      <c r="C15" s="204" t="s">
        <v>171</v>
      </c>
      <c r="D15" s="262">
        <v>2</v>
      </c>
    </row>
    <row r="16" spans="3:4" ht="25" customHeight="1" x14ac:dyDescent="0.25">
      <c r="C16" s="204" t="s">
        <v>172</v>
      </c>
      <c r="D16" s="262">
        <v>1</v>
      </c>
    </row>
    <row r="17" spans="3:4" ht="25" customHeight="1" x14ac:dyDescent="0.25">
      <c r="C17" s="204" t="s">
        <v>173</v>
      </c>
      <c r="D17" s="262">
        <v>1</v>
      </c>
    </row>
    <row r="18" spans="3:4" ht="25" customHeight="1" x14ac:dyDescent="0.25">
      <c r="C18" s="205"/>
      <c r="D18" s="203"/>
    </row>
    <row r="19" spans="3:4" ht="25" customHeight="1" x14ac:dyDescent="0.25">
      <c r="C19" s="211" t="s">
        <v>174</v>
      </c>
      <c r="D19" s="203"/>
    </row>
    <row r="20" spans="3:4" ht="52" customHeight="1" x14ac:dyDescent="0.25">
      <c r="C20" s="204" t="s">
        <v>175</v>
      </c>
      <c r="D20" s="207">
        <v>4</v>
      </c>
    </row>
    <row r="21" spans="3:4" ht="21" customHeight="1" x14ac:dyDescent="0.25">
      <c r="C21" s="206"/>
      <c r="D21" s="207"/>
    </row>
    <row r="22" spans="3:4" ht="21" customHeight="1" x14ac:dyDescent="0.25">
      <c r="C22" s="200" t="s">
        <v>176</v>
      </c>
      <c r="D22" s="207"/>
    </row>
    <row r="23" spans="3:4" ht="21" customHeight="1" x14ac:dyDescent="0.25">
      <c r="C23" s="204" t="s">
        <v>177</v>
      </c>
      <c r="D23" s="203">
        <v>3</v>
      </c>
    </row>
    <row r="24" spans="3:4" ht="21" customHeight="1" x14ac:dyDescent="0.25">
      <c r="C24" s="200"/>
      <c r="D24" s="207"/>
    </row>
    <row r="25" spans="3:4" ht="36" customHeight="1" x14ac:dyDescent="0.25">
      <c r="C25" s="216" t="s">
        <v>178</v>
      </c>
      <c r="D25" s="207"/>
    </row>
    <row r="26" spans="3:4" x14ac:dyDescent="0.25">
      <c r="C26" s="200" t="s">
        <v>126</v>
      </c>
      <c r="D26" s="203"/>
    </row>
    <row r="27" spans="3:4" ht="40" customHeight="1" x14ac:dyDescent="0.25">
      <c r="C27" s="204" t="s">
        <v>179</v>
      </c>
      <c r="D27" s="265"/>
    </row>
    <row r="28" spans="3:4" ht="26" customHeight="1" x14ac:dyDescent="0.25">
      <c r="C28" s="204" t="s">
        <v>180</v>
      </c>
      <c r="D28" s="262">
        <v>4</v>
      </c>
    </row>
    <row r="29" spans="3:4" ht="26" customHeight="1" x14ac:dyDescent="0.25">
      <c r="C29" s="205"/>
      <c r="D29" s="207"/>
    </row>
    <row r="30" spans="3:4" ht="26" customHeight="1" x14ac:dyDescent="0.25">
      <c r="C30" s="200" t="s">
        <v>181</v>
      </c>
      <c r="D30" s="207"/>
    </row>
    <row r="31" spans="3:4" ht="26" customHeight="1" x14ac:dyDescent="0.25">
      <c r="C31" s="212" t="s">
        <v>182</v>
      </c>
      <c r="D31" s="262">
        <v>35</v>
      </c>
    </row>
    <row r="32" spans="3:4" ht="44" customHeight="1" x14ac:dyDescent="0.25">
      <c r="C32" s="204" t="s">
        <v>183</v>
      </c>
      <c r="D32" s="262">
        <v>10</v>
      </c>
    </row>
    <row r="33" spans="3:4" ht="42" customHeight="1" x14ac:dyDescent="0.25">
      <c r="C33" s="204" t="s">
        <v>184</v>
      </c>
      <c r="D33" s="203"/>
    </row>
    <row r="34" spans="3:4" ht="26" customHeight="1" x14ac:dyDescent="0.25">
      <c r="C34" s="212" t="s">
        <v>185</v>
      </c>
      <c r="D34" s="203"/>
    </row>
    <row r="35" spans="3:4" ht="26" customHeight="1" x14ac:dyDescent="0.25">
      <c r="C35" s="212"/>
      <c r="D35" s="207"/>
    </row>
    <row r="36" spans="3:4" ht="26" customHeight="1" x14ac:dyDescent="0.25">
      <c r="C36" s="200" t="s">
        <v>186</v>
      </c>
      <c r="D36" s="207"/>
    </row>
    <row r="37" spans="3:4" ht="26" customHeight="1" x14ac:dyDescent="0.25">
      <c r="C37" s="204" t="s">
        <v>187</v>
      </c>
      <c r="D37" s="262">
        <v>10</v>
      </c>
    </row>
    <row r="38" spans="3:4" ht="40" customHeight="1" x14ac:dyDescent="0.25">
      <c r="C38" s="204" t="s">
        <v>188</v>
      </c>
      <c r="D38" s="262">
        <v>6</v>
      </c>
    </row>
    <row r="39" spans="3:4" ht="25" customHeight="1" x14ac:dyDescent="0.25">
      <c r="C39" s="205"/>
      <c r="D39" s="203"/>
    </row>
    <row r="40" spans="3:4" ht="29" customHeight="1" x14ac:dyDescent="0.25">
      <c r="C40" s="216" t="s">
        <v>189</v>
      </c>
      <c r="D40" s="207"/>
    </row>
    <row r="41" spans="3:4" ht="25" customHeight="1" x14ac:dyDescent="0.25">
      <c r="C41" s="211" t="s">
        <v>190</v>
      </c>
      <c r="D41" s="203"/>
    </row>
    <row r="42" spans="3:4" ht="37" customHeight="1" x14ac:dyDescent="0.25">
      <c r="C42" s="204" t="s">
        <v>191</v>
      </c>
      <c r="D42" s="264">
        <v>10</v>
      </c>
    </row>
    <row r="43" spans="3:4" ht="37" customHeight="1" x14ac:dyDescent="0.25">
      <c r="C43" s="204" t="s">
        <v>192</v>
      </c>
      <c r="D43" s="203"/>
    </row>
    <row r="44" spans="3:4" ht="37" customHeight="1" x14ac:dyDescent="0.25">
      <c r="C44" s="205"/>
      <c r="D44" s="207"/>
    </row>
    <row r="45" spans="3:4" ht="37" customHeight="1" x14ac:dyDescent="0.25">
      <c r="C45" s="211" t="s">
        <v>193</v>
      </c>
      <c r="D45" s="207"/>
    </row>
    <row r="46" spans="3:4" ht="37" customHeight="1" x14ac:dyDescent="0.25">
      <c r="C46" s="204" t="s">
        <v>194</v>
      </c>
      <c r="D46" s="262">
        <v>4</v>
      </c>
    </row>
    <row r="47" spans="3:4" ht="24" customHeight="1" x14ac:dyDescent="0.25">
      <c r="C47" s="205"/>
      <c r="D47" s="207"/>
    </row>
    <row r="48" spans="3:4" ht="24" customHeight="1" x14ac:dyDescent="0.25">
      <c r="C48" s="211" t="s">
        <v>195</v>
      </c>
      <c r="D48" s="207"/>
    </row>
    <row r="49" spans="3:4" ht="79" customHeight="1" x14ac:dyDescent="0.25">
      <c r="C49" s="204" t="s">
        <v>196</v>
      </c>
      <c r="D49" s="262">
        <v>15</v>
      </c>
    </row>
    <row r="50" spans="3:4" ht="60" customHeight="1" x14ac:dyDescent="0.25">
      <c r="C50" s="212" t="s">
        <v>197</v>
      </c>
      <c r="D50" s="262">
        <v>10</v>
      </c>
    </row>
    <row r="51" spans="3:4" ht="37" customHeight="1" x14ac:dyDescent="0.25">
      <c r="C51" s="204" t="s">
        <v>198</v>
      </c>
      <c r="D51" s="262">
        <v>30</v>
      </c>
    </row>
    <row r="52" spans="3:4" ht="37" customHeight="1" x14ac:dyDescent="0.25">
      <c r="C52" s="204" t="s">
        <v>199</v>
      </c>
      <c r="D52" s="203"/>
    </row>
    <row r="53" spans="3:4" ht="47" customHeight="1" x14ac:dyDescent="0.25">
      <c r="C53" s="204" t="s">
        <v>200</v>
      </c>
      <c r="D53" s="262">
        <v>1</v>
      </c>
    </row>
    <row r="54" spans="3:4" ht="37" customHeight="1" x14ac:dyDescent="0.25">
      <c r="C54" s="212" t="s">
        <v>201</v>
      </c>
      <c r="D54" s="263">
        <v>6</v>
      </c>
    </row>
    <row r="55" spans="3:4" x14ac:dyDescent="0.25">
      <c r="C55" s="212"/>
      <c r="D55" s="207"/>
    </row>
    <row r="56" spans="3:4" x14ac:dyDescent="0.25">
      <c r="C56" s="205"/>
      <c r="D56" s="203"/>
    </row>
    <row r="57" spans="3:4" x14ac:dyDescent="0.25">
      <c r="C57" s="205"/>
      <c r="D57" s="203"/>
    </row>
    <row r="58" spans="3:4" x14ac:dyDescent="0.25">
      <c r="C58" s="205"/>
      <c r="D58" s="203"/>
    </row>
    <row r="59" spans="3:4" x14ac:dyDescent="0.25">
      <c r="C59" s="333"/>
      <c r="D59" s="334"/>
    </row>
    <row r="60" spans="3:4" x14ac:dyDescent="0.25">
      <c r="C60" s="333"/>
      <c r="D60" s="334"/>
    </row>
    <row r="61" spans="3:4" x14ac:dyDescent="0.25">
      <c r="C61" s="333"/>
      <c r="D61" s="334"/>
    </row>
    <row r="62" spans="3:4" x14ac:dyDescent="0.25">
      <c r="C62" s="335"/>
      <c r="D62" s="334"/>
    </row>
    <row r="63" spans="3:4" ht="13" thickBot="1" x14ac:dyDescent="0.3">
      <c r="C63" s="336"/>
      <c r="D63" s="337"/>
    </row>
    <row r="64" spans="3:4" ht="13" thickTop="1" x14ac:dyDescent="0.25"/>
  </sheetData>
  <mergeCells count="4">
    <mergeCell ref="C59:C61"/>
    <mergeCell ref="D59:D61"/>
    <mergeCell ref="C62:C63"/>
    <mergeCell ref="D62:D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91"/>
  <sheetViews>
    <sheetView topLeftCell="A64" workbookViewId="0">
      <selection activeCell="C87" sqref="C87"/>
    </sheetView>
  </sheetViews>
  <sheetFormatPr defaultColWidth="8.81640625" defaultRowHeight="12.5" x14ac:dyDescent="0.25"/>
  <cols>
    <col min="1" max="1" width="14.453125" customWidth="1"/>
    <col min="2" max="2" width="23.1796875" bestFit="1" customWidth="1"/>
    <col min="3" max="14" width="12.453125" customWidth="1"/>
    <col min="16" max="17" width="11.1796875" bestFit="1" customWidth="1"/>
    <col min="19" max="19" width="10.1796875" bestFit="1" customWidth="1"/>
  </cols>
  <sheetData>
    <row r="1" spans="2:18" x14ac:dyDescent="0.25">
      <c r="Q1" s="91" t="s">
        <v>249</v>
      </c>
      <c r="R1">
        <f>540</f>
        <v>540</v>
      </c>
    </row>
    <row r="2" spans="2:18" ht="13" x14ac:dyDescent="0.3">
      <c r="B2" s="28" t="s">
        <v>22</v>
      </c>
      <c r="C2" s="28" t="s">
        <v>92</v>
      </c>
      <c r="D2" s="28" t="s">
        <v>93</v>
      </c>
      <c r="E2" s="28" t="s">
        <v>94</v>
      </c>
      <c r="F2" s="28" t="s">
        <v>95</v>
      </c>
      <c r="G2" s="28" t="s">
        <v>96</v>
      </c>
      <c r="H2" s="28" t="s">
        <v>97</v>
      </c>
      <c r="I2" s="28" t="s">
        <v>98</v>
      </c>
      <c r="J2" s="28" t="s">
        <v>99</v>
      </c>
      <c r="K2" s="28" t="s">
        <v>100</v>
      </c>
      <c r="L2" s="28" t="s">
        <v>101</v>
      </c>
      <c r="M2" s="28" t="s">
        <v>102</v>
      </c>
      <c r="N2" s="28" t="s">
        <v>103</v>
      </c>
      <c r="P2" s="28" t="s">
        <v>248</v>
      </c>
      <c r="Q2" s="28" t="s">
        <v>247</v>
      </c>
    </row>
    <row r="3" spans="2:18" x14ac:dyDescent="0.25">
      <c r="B3" s="91"/>
      <c r="C3" s="111">
        <v>1748156</v>
      </c>
      <c r="D3" s="111">
        <v>1064780</v>
      </c>
      <c r="E3" s="111">
        <v>932688</v>
      </c>
      <c r="F3" s="111">
        <v>922012</v>
      </c>
      <c r="G3" s="111">
        <v>1167300</v>
      </c>
      <c r="H3" s="111">
        <v>1252574</v>
      </c>
      <c r="I3" s="111">
        <v>1227286</v>
      </c>
      <c r="J3" s="111">
        <v>1516689</v>
      </c>
      <c r="K3" s="111">
        <v>1748238</v>
      </c>
      <c r="L3" s="111">
        <v>1885874</v>
      </c>
      <c r="M3" s="111">
        <v>2004798</v>
      </c>
      <c r="N3" s="111">
        <v>1930814</v>
      </c>
      <c r="P3" s="112">
        <f>AVERAGE(C3:N3)</f>
        <v>1450100.75</v>
      </c>
      <c r="Q3" s="112">
        <f>P3/$R$1</f>
        <v>2685.3717592592593</v>
      </c>
    </row>
    <row r="4" spans="2:18" x14ac:dyDescent="0.25">
      <c r="Q4" s="112"/>
    </row>
    <row r="5" spans="2:18" x14ac:dyDescent="0.25">
      <c r="Q5" s="112"/>
    </row>
    <row r="6" spans="2:18" ht="13" x14ac:dyDescent="0.3">
      <c r="B6" s="28" t="s">
        <v>23</v>
      </c>
      <c r="C6" s="28" t="s">
        <v>92</v>
      </c>
      <c r="D6" s="28" t="s">
        <v>93</v>
      </c>
      <c r="E6" s="28" t="s">
        <v>94</v>
      </c>
      <c r="F6" s="28" t="s">
        <v>95</v>
      </c>
      <c r="G6" s="28" t="s">
        <v>96</v>
      </c>
      <c r="H6" s="28" t="s">
        <v>97</v>
      </c>
      <c r="I6" s="28" t="s">
        <v>98</v>
      </c>
      <c r="J6" s="28" t="s">
        <v>99</v>
      </c>
      <c r="K6" s="28" t="s">
        <v>100</v>
      </c>
      <c r="L6" s="28" t="s">
        <v>101</v>
      </c>
      <c r="M6" s="28" t="s">
        <v>102</v>
      </c>
      <c r="N6" s="28" t="s">
        <v>103</v>
      </c>
      <c r="Q6" s="112"/>
    </row>
    <row r="7" spans="2:18" x14ac:dyDescent="0.25">
      <c r="B7" s="91"/>
      <c r="C7" s="111">
        <v>219077</v>
      </c>
      <c r="D7" s="111">
        <v>184800</v>
      </c>
      <c r="E7" s="111">
        <v>193742</v>
      </c>
      <c r="F7" s="111">
        <v>204919</v>
      </c>
      <c r="G7" s="111">
        <v>188524</v>
      </c>
      <c r="H7" s="111">
        <v>263040</v>
      </c>
      <c r="I7" s="111">
        <v>338303</v>
      </c>
      <c r="J7" s="111">
        <v>223548</v>
      </c>
      <c r="K7" s="111">
        <v>58123</v>
      </c>
      <c r="L7" s="111">
        <v>230255</v>
      </c>
      <c r="M7" s="111">
        <v>570793</v>
      </c>
      <c r="N7" s="111">
        <v>271983</v>
      </c>
      <c r="P7" s="112">
        <f>AVERAGE(C7:N7)</f>
        <v>245592.25</v>
      </c>
      <c r="Q7" s="112">
        <f>P7/$R$1</f>
        <v>454.80046296296297</v>
      </c>
    </row>
    <row r="8" spans="2:18" x14ac:dyDescent="0.25">
      <c r="Q8" s="112"/>
    </row>
    <row r="9" spans="2:18" x14ac:dyDescent="0.25">
      <c r="Q9" s="112"/>
    </row>
    <row r="10" spans="2:18" ht="13" x14ac:dyDescent="0.3">
      <c r="B10" s="28" t="s">
        <v>104</v>
      </c>
      <c r="C10" s="28" t="s">
        <v>92</v>
      </c>
      <c r="D10" s="28" t="s">
        <v>93</v>
      </c>
      <c r="E10" s="28" t="s">
        <v>94</v>
      </c>
      <c r="F10" s="28" t="s">
        <v>95</v>
      </c>
      <c r="G10" s="28" t="s">
        <v>96</v>
      </c>
      <c r="H10" s="28" t="s">
        <v>97</v>
      </c>
      <c r="I10" s="28" t="s">
        <v>98</v>
      </c>
      <c r="J10" s="28" t="s">
        <v>99</v>
      </c>
      <c r="K10" s="28" t="s">
        <v>100</v>
      </c>
      <c r="L10" s="28" t="s">
        <v>101</v>
      </c>
      <c r="M10" s="28" t="s">
        <v>102</v>
      </c>
      <c r="N10" s="28" t="s">
        <v>103</v>
      </c>
      <c r="Q10" s="112"/>
    </row>
    <row r="11" spans="2:18" x14ac:dyDescent="0.25">
      <c r="C11" s="111">
        <v>451056</v>
      </c>
      <c r="D11" s="111">
        <v>451056</v>
      </c>
      <c r="E11" s="111">
        <v>451056</v>
      </c>
      <c r="F11" s="111">
        <v>451056</v>
      </c>
      <c r="G11" s="111">
        <v>451056</v>
      </c>
      <c r="H11" s="111">
        <v>451056</v>
      </c>
      <c r="I11" s="111">
        <v>451056</v>
      </c>
      <c r="J11" s="111">
        <v>451056</v>
      </c>
      <c r="K11" s="111">
        <v>451056</v>
      </c>
      <c r="L11" s="111">
        <v>451056</v>
      </c>
      <c r="M11" s="111">
        <v>451056</v>
      </c>
      <c r="N11" s="111">
        <v>451056</v>
      </c>
      <c r="P11" s="112">
        <f>AVERAGE(C11:N11)</f>
        <v>451056</v>
      </c>
      <c r="Q11" s="112">
        <f>P11/$R$1</f>
        <v>835.28888888888889</v>
      </c>
    </row>
    <row r="12" spans="2:18" x14ac:dyDescent="0.25">
      <c r="Q12" s="112"/>
    </row>
    <row r="13" spans="2:18" x14ac:dyDescent="0.25">
      <c r="Q13" s="112"/>
    </row>
    <row r="14" spans="2:18" ht="13" x14ac:dyDescent="0.3">
      <c r="B14" s="28" t="s">
        <v>105</v>
      </c>
      <c r="C14" s="28" t="s">
        <v>92</v>
      </c>
      <c r="D14" s="28" t="s">
        <v>93</v>
      </c>
      <c r="E14" s="28" t="s">
        <v>94</v>
      </c>
      <c r="F14" s="28" t="s">
        <v>95</v>
      </c>
      <c r="G14" s="28" t="s">
        <v>96</v>
      </c>
      <c r="H14" s="28" t="s">
        <v>97</v>
      </c>
      <c r="I14" s="28" t="s">
        <v>98</v>
      </c>
      <c r="J14" s="28" t="s">
        <v>99</v>
      </c>
      <c r="K14" s="28" t="s">
        <v>100</v>
      </c>
      <c r="L14" s="28" t="s">
        <v>101</v>
      </c>
      <c r="M14" s="28" t="s">
        <v>102</v>
      </c>
      <c r="N14" s="28" t="s">
        <v>103</v>
      </c>
      <c r="O14" s="28"/>
      <c r="Q14" s="112"/>
    </row>
    <row r="15" spans="2:18" x14ac:dyDescent="0.25">
      <c r="C15" s="111">
        <v>1212625</v>
      </c>
      <c r="D15" s="111">
        <v>1212625</v>
      </c>
      <c r="E15" s="111">
        <v>1212625</v>
      </c>
      <c r="F15" s="111">
        <v>1212625</v>
      </c>
      <c r="G15" s="111">
        <v>3124776</v>
      </c>
      <c r="H15" s="111">
        <v>1212625</v>
      </c>
      <c r="I15" s="111">
        <v>1212625</v>
      </c>
      <c r="J15" s="111">
        <v>1212625</v>
      </c>
      <c r="K15" s="111">
        <v>1212625</v>
      </c>
      <c r="L15" s="111">
        <v>1212625</v>
      </c>
      <c r="M15" s="111">
        <v>1212625</v>
      </c>
      <c r="N15" s="111">
        <v>1212625</v>
      </c>
      <c r="O15" s="112"/>
      <c r="P15" s="112">
        <f>AVERAGE(C15:N15)</f>
        <v>1371970.9166666667</v>
      </c>
      <c r="Q15" s="112">
        <f>P15/$R$1</f>
        <v>2540.6868827160497</v>
      </c>
    </row>
    <row r="16" spans="2:18" x14ac:dyDescent="0.25">
      <c r="Q16" s="112"/>
    </row>
    <row r="17" spans="2:19" x14ac:dyDescent="0.25">
      <c r="Q17" s="112"/>
    </row>
    <row r="18" spans="2:19" ht="13" x14ac:dyDescent="0.3">
      <c r="B18" s="28" t="s">
        <v>106</v>
      </c>
      <c r="C18" s="28" t="s">
        <v>92</v>
      </c>
      <c r="D18" s="28" t="s">
        <v>93</v>
      </c>
      <c r="E18" s="28" t="s">
        <v>94</v>
      </c>
      <c r="F18" s="28" t="s">
        <v>95</v>
      </c>
      <c r="G18" s="28" t="s">
        <v>96</v>
      </c>
      <c r="H18" s="28" t="s">
        <v>97</v>
      </c>
      <c r="I18" s="28" t="s">
        <v>98</v>
      </c>
      <c r="J18" s="28" t="s">
        <v>99</v>
      </c>
      <c r="K18" s="28" t="s">
        <v>100</v>
      </c>
      <c r="L18" s="28" t="s">
        <v>101</v>
      </c>
      <c r="M18" s="28" t="s">
        <v>102</v>
      </c>
      <c r="N18" s="28" t="s">
        <v>103</v>
      </c>
      <c r="Q18" s="112"/>
    </row>
    <row r="19" spans="2:19" x14ac:dyDescent="0.25">
      <c r="C19" s="111">
        <f>770811</f>
        <v>770811</v>
      </c>
      <c r="D19" s="111">
        <f t="shared" ref="D19:N19" si="0">770811</f>
        <v>770811</v>
      </c>
      <c r="E19" s="111">
        <f t="shared" si="0"/>
        <v>770811</v>
      </c>
      <c r="F19" s="111">
        <f t="shared" si="0"/>
        <v>770811</v>
      </c>
      <c r="G19" s="111">
        <f t="shared" si="0"/>
        <v>770811</v>
      </c>
      <c r="H19" s="111">
        <f t="shared" si="0"/>
        <v>770811</v>
      </c>
      <c r="I19" s="111">
        <f t="shared" si="0"/>
        <v>770811</v>
      </c>
      <c r="J19" s="111">
        <f t="shared" si="0"/>
        <v>770811</v>
      </c>
      <c r="K19" s="111">
        <f t="shared" si="0"/>
        <v>770811</v>
      </c>
      <c r="L19" s="111">
        <f t="shared" si="0"/>
        <v>770811</v>
      </c>
      <c r="M19" s="111">
        <f t="shared" si="0"/>
        <v>770811</v>
      </c>
      <c r="N19" s="111">
        <f t="shared" si="0"/>
        <v>770811</v>
      </c>
      <c r="O19" s="113"/>
      <c r="P19" s="112">
        <f>AVERAGE(C19:N19)</f>
        <v>770811</v>
      </c>
      <c r="Q19" s="112">
        <f>P19/$R$1</f>
        <v>1427.4277777777777</v>
      </c>
      <c r="S19" s="113"/>
    </row>
    <row r="20" spans="2:19" x14ac:dyDescent="0.25">
      <c r="Q20" s="112"/>
    </row>
    <row r="21" spans="2:19" ht="13" x14ac:dyDescent="0.3">
      <c r="B21" s="28" t="s">
        <v>202</v>
      </c>
      <c r="C21" s="28" t="s">
        <v>92</v>
      </c>
      <c r="D21" s="28" t="s">
        <v>93</v>
      </c>
      <c r="E21" s="28" t="s">
        <v>94</v>
      </c>
      <c r="F21" s="28" t="s">
        <v>95</v>
      </c>
      <c r="G21" s="28" t="s">
        <v>96</v>
      </c>
      <c r="H21" s="28" t="s">
        <v>97</v>
      </c>
      <c r="I21" s="28" t="s">
        <v>98</v>
      </c>
      <c r="J21" s="28" t="s">
        <v>99</v>
      </c>
      <c r="K21" s="28" t="s">
        <v>100</v>
      </c>
      <c r="L21" s="28" t="s">
        <v>101</v>
      </c>
      <c r="M21" s="28" t="s">
        <v>102</v>
      </c>
      <c r="N21" s="28" t="s">
        <v>103</v>
      </c>
      <c r="Q21" s="112"/>
    </row>
    <row r="22" spans="2:19" x14ac:dyDescent="0.25">
      <c r="B22" s="91" t="s">
        <v>203</v>
      </c>
      <c r="C22" s="111">
        <v>197700</v>
      </c>
      <c r="D22" s="111">
        <v>119600</v>
      </c>
      <c r="E22" s="111">
        <v>158300</v>
      </c>
      <c r="F22" s="111">
        <v>187300</v>
      </c>
      <c r="G22" s="111">
        <v>114500</v>
      </c>
      <c r="H22" s="111">
        <v>130900</v>
      </c>
      <c r="I22" s="111">
        <v>103900</v>
      </c>
      <c r="J22" s="111">
        <v>307400</v>
      </c>
      <c r="K22" s="111">
        <v>132900</v>
      </c>
      <c r="L22" s="111">
        <v>145600</v>
      </c>
      <c r="M22" s="111">
        <v>222600</v>
      </c>
      <c r="N22" s="111">
        <v>169100</v>
      </c>
      <c r="P22" s="112">
        <f>AVERAGE(C22:N22)</f>
        <v>165816.66666666666</v>
      </c>
      <c r="Q22" s="112">
        <f>P22/$R$1</f>
        <v>307.0679012345679</v>
      </c>
    </row>
    <row r="23" spans="2:19" x14ac:dyDescent="0.25">
      <c r="B23" s="91" t="s">
        <v>204</v>
      </c>
      <c r="C23" s="111">
        <v>1855600</v>
      </c>
      <c r="D23" s="111">
        <v>1878200</v>
      </c>
      <c r="E23" s="111">
        <v>1940300</v>
      </c>
      <c r="F23" s="111">
        <v>1976400</v>
      </c>
      <c r="G23" s="111">
        <v>1933100</v>
      </c>
      <c r="H23" s="111">
        <v>2028399</v>
      </c>
      <c r="I23" s="111">
        <v>2082800</v>
      </c>
      <c r="J23" s="111">
        <v>2478400</v>
      </c>
      <c r="K23" s="111">
        <v>2465501</v>
      </c>
      <c r="L23" s="111">
        <v>4266370</v>
      </c>
      <c r="M23" s="111">
        <v>2416200</v>
      </c>
      <c r="N23" s="111">
        <v>2503700</v>
      </c>
      <c r="P23" s="112">
        <f>AVERAGE(C23:N23)</f>
        <v>2318747.5</v>
      </c>
      <c r="Q23" s="112">
        <f>P23/$R$1</f>
        <v>4293.9768518518522</v>
      </c>
    </row>
    <row r="24" spans="2:19" x14ac:dyDescent="0.25">
      <c r="Q24" s="113"/>
    </row>
    <row r="25" spans="2:19" ht="13" x14ac:dyDescent="0.3">
      <c r="B25" s="28" t="s">
        <v>216</v>
      </c>
      <c r="C25" s="28" t="s">
        <v>92</v>
      </c>
      <c r="D25" s="28" t="s">
        <v>93</v>
      </c>
      <c r="E25" s="28" t="s">
        <v>94</v>
      </c>
      <c r="F25" s="28" t="s">
        <v>95</v>
      </c>
      <c r="G25" s="28" t="s">
        <v>96</v>
      </c>
      <c r="H25" s="28" t="s">
        <v>97</v>
      </c>
      <c r="I25" s="28" t="s">
        <v>98</v>
      </c>
      <c r="J25" s="28" t="s">
        <v>99</v>
      </c>
      <c r="K25" s="28" t="s">
        <v>100</v>
      </c>
      <c r="L25" s="28" t="s">
        <v>101</v>
      </c>
      <c r="M25" s="28" t="s">
        <v>102</v>
      </c>
      <c r="N25" s="28" t="s">
        <v>103</v>
      </c>
    </row>
    <row r="26" spans="2:19" x14ac:dyDescent="0.25">
      <c r="C26" s="111">
        <v>42000</v>
      </c>
      <c r="D26" s="111"/>
      <c r="E26" s="111">
        <v>1321545</v>
      </c>
      <c r="F26" s="111"/>
      <c r="G26" s="111">
        <v>319860</v>
      </c>
      <c r="H26" s="111">
        <v>178800</v>
      </c>
      <c r="I26" s="111">
        <v>2064908</v>
      </c>
      <c r="J26" s="111"/>
      <c r="K26" s="111"/>
      <c r="L26" s="111"/>
      <c r="M26" s="111">
        <f>128000+309500</f>
        <v>437500</v>
      </c>
      <c r="N26" s="111"/>
      <c r="P26" s="112">
        <f>SUM(C26:M26)</f>
        <v>4364613</v>
      </c>
      <c r="Q26" s="113">
        <f>$P$26/$R$1</f>
        <v>8082.6166666666668</v>
      </c>
    </row>
    <row r="27" spans="2:19" x14ac:dyDescent="0.25">
      <c r="C27" s="111"/>
      <c r="D27" s="111"/>
      <c r="E27" s="111"/>
      <c r="F27" s="111"/>
      <c r="G27" s="111"/>
      <c r="H27" s="111"/>
      <c r="I27" s="111"/>
      <c r="J27" s="111"/>
      <c r="K27" s="111"/>
      <c r="L27" s="111"/>
      <c r="M27" s="111"/>
      <c r="N27" s="111"/>
    </row>
    <row r="28" spans="2:19" ht="13" x14ac:dyDescent="0.3">
      <c r="B28" s="28" t="s">
        <v>217</v>
      </c>
      <c r="C28" s="28" t="s">
        <v>92</v>
      </c>
      <c r="D28" s="28" t="s">
        <v>93</v>
      </c>
      <c r="E28" s="28" t="s">
        <v>94</v>
      </c>
      <c r="F28" s="28" t="s">
        <v>95</v>
      </c>
      <c r="G28" s="28" t="s">
        <v>96</v>
      </c>
      <c r="H28" s="28" t="s">
        <v>97</v>
      </c>
      <c r="I28" s="28" t="s">
        <v>98</v>
      </c>
      <c r="J28" s="28" t="s">
        <v>99</v>
      </c>
      <c r="K28" s="28" t="s">
        <v>100</v>
      </c>
      <c r="L28" s="28" t="s">
        <v>101</v>
      </c>
      <c r="M28" s="28" t="s">
        <v>102</v>
      </c>
      <c r="N28" s="28" t="s">
        <v>103</v>
      </c>
    </row>
    <row r="29" spans="2:19" x14ac:dyDescent="0.25">
      <c r="B29" s="195"/>
      <c r="C29" s="111"/>
      <c r="D29" s="111"/>
      <c r="E29" s="111"/>
      <c r="F29" s="111">
        <v>2402033</v>
      </c>
      <c r="G29" s="111"/>
      <c r="H29" s="111">
        <v>2927500</v>
      </c>
      <c r="I29" s="111">
        <v>11567041</v>
      </c>
      <c r="J29" s="111">
        <v>13539800</v>
      </c>
      <c r="K29" s="111">
        <v>1473097</v>
      </c>
      <c r="L29" s="111">
        <v>3960507</v>
      </c>
      <c r="M29" s="111">
        <v>6075936</v>
      </c>
      <c r="N29" s="111">
        <v>8234940</v>
      </c>
      <c r="P29" s="112">
        <f>SUM(F29:N29)</f>
        <v>50180854</v>
      </c>
      <c r="Q29" s="113">
        <f>$P$29/$R$1</f>
        <v>92927.507407407407</v>
      </c>
    </row>
    <row r="30" spans="2:19" x14ac:dyDescent="0.25">
      <c r="B30" s="195"/>
    </row>
    <row r="35" spans="2:8" ht="13" x14ac:dyDescent="0.3">
      <c r="B35" s="28" t="s">
        <v>238</v>
      </c>
      <c r="C35" s="255">
        <v>2018</v>
      </c>
      <c r="D35" s="255">
        <v>2018</v>
      </c>
      <c r="E35" s="221">
        <v>2020</v>
      </c>
      <c r="F35" s="221">
        <v>2020</v>
      </c>
    </row>
    <row r="36" spans="2:8" x14ac:dyDescent="0.25">
      <c r="B36" t="s">
        <v>239</v>
      </c>
      <c r="C36" s="256">
        <f>283500</f>
        <v>283500</v>
      </c>
      <c r="D36" s="256">
        <f>205000</f>
        <v>205000</v>
      </c>
      <c r="E36" s="111">
        <f>283500*1.05</f>
        <v>297675</v>
      </c>
      <c r="F36" s="111">
        <f>205000*1.05</f>
        <v>215250</v>
      </c>
    </row>
    <row r="37" spans="2:8" x14ac:dyDescent="0.25">
      <c r="B37" t="s">
        <v>240</v>
      </c>
      <c r="C37" s="256">
        <v>251500</v>
      </c>
      <c r="D37" s="256">
        <f>109000*2</f>
        <v>218000</v>
      </c>
      <c r="E37" s="111">
        <f>251500*1.05</f>
        <v>264075</v>
      </c>
      <c r="F37" s="111">
        <f>218000*1.05</f>
        <v>228900</v>
      </c>
    </row>
    <row r="38" spans="2:8" x14ac:dyDescent="0.25">
      <c r="B38" s="91" t="s">
        <v>242</v>
      </c>
      <c r="C38" s="256">
        <f>215400*(9/12)</f>
        <v>161550</v>
      </c>
      <c r="D38" s="256">
        <f>157000*(9/12)</f>
        <v>117750</v>
      </c>
      <c r="E38" s="111">
        <f>215400*1.05</f>
        <v>226170</v>
      </c>
      <c r="F38" s="111">
        <f>180000*1.05</f>
        <v>189000</v>
      </c>
    </row>
    <row r="39" spans="2:8" x14ac:dyDescent="0.25">
      <c r="B39" t="s">
        <v>241</v>
      </c>
      <c r="C39" s="256">
        <f>180600*(4/12)-150</f>
        <v>60050</v>
      </c>
      <c r="D39" s="256">
        <f>(78600*2)*(4/12)</f>
        <v>52400</v>
      </c>
      <c r="E39" s="111">
        <f>180600*1.05*0.75</f>
        <v>142222.5</v>
      </c>
      <c r="F39" s="111">
        <f>140000*1.05*0.75</f>
        <v>110250</v>
      </c>
    </row>
    <row r="40" spans="2:8" x14ac:dyDescent="0.25">
      <c r="C40" s="257"/>
      <c r="D40" s="257"/>
      <c r="E40" s="220"/>
    </row>
    <row r="41" spans="2:8" ht="13" x14ac:dyDescent="0.3">
      <c r="B41" s="28" t="s">
        <v>79</v>
      </c>
      <c r="C41" s="258">
        <f>SUM(C36:C40)</f>
        <v>756600</v>
      </c>
      <c r="D41" s="258">
        <f>SUM(D36:D40)</f>
        <v>593150</v>
      </c>
      <c r="E41" s="222">
        <f>SUM(E36:E40)</f>
        <v>930142.5</v>
      </c>
      <c r="F41" s="222">
        <f>SUM(F36:F40)</f>
        <v>743400</v>
      </c>
    </row>
    <row r="42" spans="2:8" x14ac:dyDescent="0.25">
      <c r="C42" s="257"/>
      <c r="D42" s="259">
        <f>C41-D41</f>
        <v>163450</v>
      </c>
      <c r="F42" s="260">
        <f>E41-F41</f>
        <v>186742.5</v>
      </c>
    </row>
    <row r="43" spans="2:8" x14ac:dyDescent="0.25">
      <c r="D43" s="112"/>
    </row>
    <row r="44" spans="2:8" x14ac:dyDescent="0.25">
      <c r="B44" s="91" t="s">
        <v>243</v>
      </c>
      <c r="C44" s="111">
        <f>18000*3</f>
        <v>54000</v>
      </c>
      <c r="D44" s="111"/>
      <c r="E44" s="111">
        <f>18000*5</f>
        <v>90000</v>
      </c>
    </row>
    <row r="45" spans="2:8" x14ac:dyDescent="0.25">
      <c r="C45" s="111"/>
      <c r="D45" s="111"/>
      <c r="E45" s="111"/>
    </row>
    <row r="46" spans="2:8" x14ac:dyDescent="0.25">
      <c r="B46" s="91" t="s">
        <v>12</v>
      </c>
      <c r="C46" s="111">
        <f>1200*2</f>
        <v>2400</v>
      </c>
      <c r="D46" s="111"/>
      <c r="E46" s="111">
        <f>(2000*5)</f>
        <v>10000</v>
      </c>
    </row>
    <row r="47" spans="2:8" x14ac:dyDescent="0.25">
      <c r="C47" s="111"/>
      <c r="D47" s="111"/>
      <c r="E47" s="111"/>
      <c r="H47" s="112"/>
    </row>
    <row r="48" spans="2:8" x14ac:dyDescent="0.25">
      <c r="B48" s="91" t="s">
        <v>245</v>
      </c>
      <c r="C48" s="254">
        <f>1500*12</f>
        <v>18000</v>
      </c>
      <c r="D48" s="111"/>
      <c r="E48" s="254">
        <f>1500*12</f>
        <v>18000</v>
      </c>
    </row>
    <row r="49" spans="1:8" x14ac:dyDescent="0.25">
      <c r="C49" s="111">
        <f>SUM(C44:C48)</f>
        <v>74400</v>
      </c>
      <c r="D49" s="111"/>
      <c r="E49" s="111">
        <f>SUM(E44:E48)</f>
        <v>118000</v>
      </c>
    </row>
    <row r="50" spans="1:8" x14ac:dyDescent="0.25">
      <c r="C50" s="111"/>
      <c r="D50" s="111"/>
      <c r="E50" s="111"/>
    </row>
    <row r="51" spans="1:8" x14ac:dyDescent="0.25">
      <c r="B51" s="91" t="s">
        <v>244</v>
      </c>
      <c r="C51" s="111">
        <f>40000</f>
        <v>40000</v>
      </c>
      <c r="D51" s="111"/>
      <c r="E51" s="111"/>
      <c r="G51" s="112"/>
    </row>
    <row r="54" spans="1:8" x14ac:dyDescent="0.25">
      <c r="F54" s="112"/>
      <c r="H54" s="112"/>
    </row>
    <row r="55" spans="1:8" x14ac:dyDescent="0.25">
      <c r="F55" s="112"/>
    </row>
    <row r="56" spans="1:8" ht="13" x14ac:dyDescent="0.3">
      <c r="B56" s="28" t="s">
        <v>151</v>
      </c>
    </row>
    <row r="58" spans="1:8" ht="13" x14ac:dyDescent="0.3">
      <c r="A58" s="28" t="s">
        <v>288</v>
      </c>
      <c r="B58" s="91" t="s">
        <v>265</v>
      </c>
      <c r="C58" s="111">
        <f>E36</f>
        <v>297675</v>
      </c>
    </row>
    <row r="59" spans="1:8" x14ac:dyDescent="0.25">
      <c r="B59" s="91" t="s">
        <v>273</v>
      </c>
      <c r="C59" s="111">
        <f>41500</f>
        <v>41500</v>
      </c>
    </row>
    <row r="60" spans="1:8" ht="13" x14ac:dyDescent="0.3">
      <c r="B60" s="91" t="s">
        <v>275</v>
      </c>
      <c r="C60" s="111">
        <f>18000</f>
        <v>18000</v>
      </c>
      <c r="D60" s="224">
        <f>SUM(C58:C60)</f>
        <v>357175</v>
      </c>
      <c r="E60" s="225">
        <f>D60/D91</f>
        <v>0.17502422554812216</v>
      </c>
    </row>
    <row r="61" spans="1:8" x14ac:dyDescent="0.25">
      <c r="B61" s="91"/>
      <c r="C61" s="111"/>
    </row>
    <row r="62" spans="1:8" ht="13" x14ac:dyDescent="0.3">
      <c r="A62" s="28" t="s">
        <v>80</v>
      </c>
      <c r="B62" s="91" t="s">
        <v>266</v>
      </c>
      <c r="C62" s="111">
        <f>E37</f>
        <v>264075</v>
      </c>
    </row>
    <row r="63" spans="1:8" x14ac:dyDescent="0.25">
      <c r="B63" s="91" t="s">
        <v>312</v>
      </c>
      <c r="C63" s="111">
        <f>51000</f>
        <v>51000</v>
      </c>
    </row>
    <row r="64" spans="1:8" x14ac:dyDescent="0.25">
      <c r="B64" s="91" t="s">
        <v>286</v>
      </c>
      <c r="C64" s="111">
        <f>41000</f>
        <v>41000</v>
      </c>
    </row>
    <row r="65" spans="1:7" x14ac:dyDescent="0.25">
      <c r="B65" s="91" t="s">
        <v>287</v>
      </c>
      <c r="C65" s="111">
        <f>39000</f>
        <v>39000</v>
      </c>
    </row>
    <row r="66" spans="1:7" x14ac:dyDescent="0.25">
      <c r="B66" s="91" t="s">
        <v>271</v>
      </c>
      <c r="C66" s="111">
        <f>42000</f>
        <v>42000</v>
      </c>
    </row>
    <row r="67" spans="1:7" ht="13" x14ac:dyDescent="0.3">
      <c r="B67" s="91" t="s">
        <v>313</v>
      </c>
      <c r="C67" s="111">
        <f>26000</f>
        <v>26000</v>
      </c>
      <c r="D67" s="224">
        <f>SUM(C62:C67)</f>
        <v>463075</v>
      </c>
      <c r="E67" s="225">
        <f>D67/D91</f>
        <v>0.22691773849148644</v>
      </c>
    </row>
    <row r="68" spans="1:7" x14ac:dyDescent="0.25">
      <c r="B68" s="91"/>
      <c r="C68" s="111"/>
    </row>
    <row r="69" spans="1:7" ht="13" x14ac:dyDescent="0.3">
      <c r="A69" s="28" t="s">
        <v>289</v>
      </c>
      <c r="B69" s="91" t="s">
        <v>267</v>
      </c>
      <c r="C69" s="111">
        <f>E38</f>
        <v>226170</v>
      </c>
    </row>
    <row r="70" spans="1:7" x14ac:dyDescent="0.25">
      <c r="B70" s="91" t="s">
        <v>283</v>
      </c>
      <c r="C70" s="111">
        <f>53000</f>
        <v>53000</v>
      </c>
    </row>
    <row r="71" spans="1:7" x14ac:dyDescent="0.25">
      <c r="B71" s="91" t="s">
        <v>311</v>
      </c>
      <c r="C71" s="111">
        <f>18500</f>
        <v>18500</v>
      </c>
    </row>
    <row r="72" spans="1:7" x14ac:dyDescent="0.25">
      <c r="B72" s="91" t="s">
        <v>269</v>
      </c>
      <c r="C72" s="111">
        <f>41500</f>
        <v>41500</v>
      </c>
    </row>
    <row r="73" spans="1:7" x14ac:dyDescent="0.25">
      <c r="B73" s="91" t="s">
        <v>272</v>
      </c>
      <c r="C73" s="111">
        <f>34000</f>
        <v>34000</v>
      </c>
    </row>
    <row r="74" spans="1:7" x14ac:dyDescent="0.25">
      <c r="B74" s="91" t="s">
        <v>282</v>
      </c>
      <c r="C74" s="111">
        <f>45000</f>
        <v>45000</v>
      </c>
    </row>
    <row r="75" spans="1:7" x14ac:dyDescent="0.25">
      <c r="B75" s="91" t="s">
        <v>281</v>
      </c>
      <c r="C75" s="111">
        <f>32000</f>
        <v>32000</v>
      </c>
    </row>
    <row r="76" spans="1:7" x14ac:dyDescent="0.25">
      <c r="B76" s="91" t="s">
        <v>278</v>
      </c>
      <c r="C76" s="111">
        <f>29000</f>
        <v>29000</v>
      </c>
    </row>
    <row r="77" spans="1:7" ht="13" x14ac:dyDescent="0.3">
      <c r="B77" s="91" t="s">
        <v>274</v>
      </c>
      <c r="C77" s="111">
        <f>31000</f>
        <v>31000</v>
      </c>
      <c r="D77" s="224">
        <f>SUM(C69:C77)</f>
        <v>510170</v>
      </c>
      <c r="E77" s="225">
        <f>D77/D91</f>
        <v>0.24999540602753689</v>
      </c>
    </row>
    <row r="78" spans="1:7" x14ac:dyDescent="0.25">
      <c r="B78" s="91"/>
      <c r="C78" s="111"/>
    </row>
    <row r="79" spans="1:7" ht="13" x14ac:dyDescent="0.3">
      <c r="A79" s="28" t="s">
        <v>290</v>
      </c>
      <c r="B79" s="91" t="s">
        <v>291</v>
      </c>
      <c r="C79" s="111">
        <f>264075</f>
        <v>264075</v>
      </c>
      <c r="G79" s="220">
        <f>264075</f>
        <v>264075</v>
      </c>
    </row>
    <row r="80" spans="1:7" x14ac:dyDescent="0.25">
      <c r="B80" s="91" t="s">
        <v>270</v>
      </c>
      <c r="C80" s="111">
        <f>65000</f>
        <v>65000</v>
      </c>
    </row>
    <row r="81" spans="1:7" x14ac:dyDescent="0.25">
      <c r="B81" s="91" t="s">
        <v>276</v>
      </c>
      <c r="C81" s="111">
        <f>43000</f>
        <v>43000</v>
      </c>
    </row>
    <row r="82" spans="1:7" x14ac:dyDescent="0.25">
      <c r="B82" s="91" t="s">
        <v>277</v>
      </c>
      <c r="C82" s="111">
        <f>34000</f>
        <v>34000</v>
      </c>
    </row>
    <row r="83" spans="1:7" x14ac:dyDescent="0.25">
      <c r="B83" s="91" t="s">
        <v>280</v>
      </c>
      <c r="C83" s="111">
        <f>39000</f>
        <v>39000</v>
      </c>
    </row>
    <row r="84" spans="1:7" x14ac:dyDescent="0.25">
      <c r="B84" s="91" t="s">
        <v>284</v>
      </c>
      <c r="C84" s="111">
        <f>53000</f>
        <v>53000</v>
      </c>
      <c r="G84" s="113"/>
    </row>
    <row r="85" spans="1:7" ht="13" x14ac:dyDescent="0.3">
      <c r="B85" s="91" t="s">
        <v>285</v>
      </c>
      <c r="C85" s="111">
        <f>23000</f>
        <v>23000</v>
      </c>
      <c r="D85" s="224">
        <f>SUM(C79:C85)</f>
        <v>521075</v>
      </c>
      <c r="E85" s="225">
        <f>D85/D91</f>
        <v>0.25533911479663401</v>
      </c>
    </row>
    <row r="86" spans="1:7" ht="13" x14ac:dyDescent="0.3">
      <c r="B86" s="91"/>
      <c r="C86" s="111"/>
      <c r="D86" s="224"/>
    </row>
    <row r="87" spans="1:7" ht="13" x14ac:dyDescent="0.3">
      <c r="A87" s="28" t="s">
        <v>81</v>
      </c>
      <c r="B87" s="91" t="s">
        <v>268</v>
      </c>
      <c r="C87" s="111">
        <f>E39</f>
        <v>142222.5</v>
      </c>
    </row>
    <row r="88" spans="1:7" ht="13" x14ac:dyDescent="0.3">
      <c r="B88" s="91" t="s">
        <v>279</v>
      </c>
      <c r="C88" s="111">
        <f>47000</f>
        <v>47000</v>
      </c>
      <c r="D88" s="224">
        <f>SUM(C87:C88)</f>
        <v>189222.5</v>
      </c>
      <c r="E88" s="225">
        <f>D88/D91</f>
        <v>9.2723515136220472E-2</v>
      </c>
    </row>
    <row r="91" spans="1:7" ht="13" x14ac:dyDescent="0.3">
      <c r="D91" s="224">
        <f>SUM(D85,D77,D67,D60,D88)</f>
        <v>2040717.5</v>
      </c>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2DABD18B4E3342ADC48E4AB658DD95" ma:contentTypeVersion="11" ma:contentTypeDescription="Crée un document." ma:contentTypeScope="" ma:versionID="6c65c03ed5cb63d9afa8f8232918d0fd">
  <xsd:schema xmlns:xsd="http://www.w3.org/2001/XMLSchema" xmlns:xs="http://www.w3.org/2001/XMLSchema" xmlns:p="http://schemas.microsoft.com/office/2006/metadata/properties" xmlns:ns2="7efd63c4-653a-4d21-8d00-2effe4579461" xmlns:ns3="c15478a5-0be8-4f5d-8383-b307d5ba8bf6" targetNamespace="http://schemas.microsoft.com/office/2006/metadata/properties" ma:root="true" ma:fieldsID="9720ffeea9911d6c4eea48c781d4e5aa" ns2:_="" ns3:_="">
    <xsd:import namespace="7efd63c4-653a-4d21-8d00-2effe4579461"/>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fd63c4-653a-4d21-8d00-2effe45794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DB59DC-0391-470B-85D7-B459AA749F2D}"/>
</file>

<file path=customXml/itemProps2.xml><?xml version="1.0" encoding="utf-8"?>
<ds:datastoreItem xmlns:ds="http://schemas.openxmlformats.org/officeDocument/2006/customXml" ds:itemID="{6034CE6F-7BAA-4E76-AAAA-00ABD22953BE}"/>
</file>

<file path=customXml/itemProps3.xml><?xml version="1.0" encoding="utf-8"?>
<ds:datastoreItem xmlns:ds="http://schemas.openxmlformats.org/officeDocument/2006/customXml" ds:itemID="{02044C8D-BCE5-4ABA-9C93-339B6343DE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Graphs</vt:lpstr>
      <vt:lpstr>Summary</vt:lpstr>
      <vt:lpstr>Annex II UN Grant</vt:lpstr>
      <vt:lpstr>Annex III RB 2020</vt:lpstr>
      <vt:lpstr>Annex IV Extra Budget by Prog</vt:lpstr>
      <vt:lpstr>Annex V 2021 RB XB</vt:lpstr>
      <vt:lpstr>PPB Breakdwn</vt:lpstr>
      <vt:lpstr>PPB</vt:lpstr>
      <vt:lpstr>Workings</vt:lpstr>
      <vt:lpstr>'Annex II UN Grant'!Print_Area</vt:lpstr>
      <vt:lpstr>'Annex IV Extra Budget by Prog'!Print_Area</vt:lpstr>
      <vt:lpstr>'Annex V 2021 RB XB'!Print_Area</vt:lpstr>
    </vt:vector>
  </TitlesOfParts>
  <Company>IDEP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Kibbnesh Wolde GABRIEL</dc:creator>
  <cp:lastModifiedBy>Ron Misty Kamwendo</cp:lastModifiedBy>
  <cp:lastPrinted>2018-03-13T15:31:13Z</cp:lastPrinted>
  <dcterms:created xsi:type="dcterms:W3CDTF">2010-01-25T13:03:21Z</dcterms:created>
  <dcterms:modified xsi:type="dcterms:W3CDTF">2020-11-26T17:29:11Z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0x010100772DABD18B4E3342ADC48E4AB658DD95</vt:lpwstr>
  </property>
</Properties>
</file>